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ichStyles.xml" ContentType="application/vnd.ms-excel.richstyles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6219B31-3933-4202-9B93-08BD29E16062}" xr6:coauthVersionLast="47" xr6:coauthVersionMax="47" xr10:uidLastSave="{00000000-0000-0000-0000-000000000000}"/>
  <bookViews>
    <workbookView xWindow="-110" yWindow="-110" windowWidth="19420" windowHeight="10300" activeTab="1" xr2:uid="{9ED72919-F244-2F41-9F43-D76D02C1DD22}"/>
  </bookViews>
  <sheets>
    <sheet name="Company Comparison" sheetId="8" r:id="rId1"/>
    <sheet name="Statements Model" sheetId="1" r:id="rId2"/>
    <sheet name="DCF" sheetId="9" r:id="rId3"/>
  </sheets>
  <externalReferences>
    <externalReference r:id="rId4"/>
  </externalReferences>
  <definedNames>
    <definedName name="_xlchart.v1.0" hidden="1">DCF!$B$18:$B$20</definedName>
    <definedName name="_xlchart.v1.1" hidden="1">DCF!$D$18:$D$20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1" l="1" a="1"/>
  <c r="C5" i="1" s="1"/>
  <c r="P11" i="9" a="1"/>
  <c r="P11" i="9" s="1"/>
  <c r="C9" i="8" a="1"/>
  <c r="C9" i="8" s="1"/>
  <c r="C6" i="8" a="1"/>
  <c r="C6" i="8" s="1"/>
  <c r="M20" i="9" a="1"/>
  <c r="M20" i="9" s="1"/>
  <c r="P16" i="9" a="1"/>
  <c r="P16" i="9" s="1"/>
  <c r="E2" i="9" a="1"/>
  <c r="E2" i="9" s="1"/>
  <c r="F10" i="8" a="1"/>
  <c r="F10" i="8" s="1"/>
  <c r="E10" i="8" a="1"/>
  <c r="E10" i="8" s="1"/>
  <c r="D10" i="8" a="1"/>
  <c r="D10" i="8" s="1"/>
  <c r="C10" i="8" a="1"/>
  <c r="C10" i="8" s="1"/>
  <c r="E3" i="9" l="1"/>
  <c r="P7" i="9" a="1"/>
  <c r="P7" i="9" s="1"/>
  <c r="P8" i="9" a="1"/>
  <c r="P8" i="9" s="1"/>
  <c r="D18" i="9"/>
  <c r="G134" i="1"/>
  <c r="H134" i="1"/>
  <c r="I134" i="1"/>
  <c r="J134" i="1"/>
  <c r="F134" i="1"/>
  <c r="P10" i="9" l="1"/>
  <c r="P13" i="9" s="1"/>
  <c r="F107" i="1"/>
  <c r="F48" i="1"/>
  <c r="F10" i="1"/>
  <c r="E10" i="1" s="1"/>
  <c r="D6" i="9" l="1"/>
  <c r="E107" i="1"/>
  <c r="D107" i="1" s="1"/>
  <c r="E6" i="9"/>
  <c r="G107" i="1"/>
  <c r="D10" i="1"/>
  <c r="G10" i="1"/>
  <c r="H10" i="1" s="1"/>
  <c r="I10" i="1" s="1"/>
  <c r="J10" i="1" s="1"/>
  <c r="P18" i="9" l="1" a="1"/>
  <c r="P18" i="9" s="1"/>
  <c r="P21" i="9" s="1"/>
  <c r="P17" i="9" a="1"/>
  <c r="P17" i="9" s="1"/>
  <c r="H107" i="1"/>
  <c r="F6" i="9"/>
  <c r="C107" i="1"/>
  <c r="C10" i="1"/>
  <c r="C143" i="1" l="1" a="1"/>
  <c r="C143" i="1" s="1"/>
  <c r="C24" i="1" a="1"/>
  <c r="C24" i="1" s="1"/>
  <c r="C17" i="1" a="1"/>
  <c r="C17" i="1" s="1"/>
  <c r="C12" i="1" a="1"/>
  <c r="C12" i="1" s="1"/>
  <c r="C57" i="1" a="1"/>
  <c r="C57" i="1" s="1"/>
  <c r="C20" i="1" a="1"/>
  <c r="C20" i="1" s="1"/>
  <c r="C44" i="1" a="1"/>
  <c r="C44" i="1" s="1"/>
  <c r="C15" i="1" a="1"/>
  <c r="C15" i="1" s="1"/>
  <c r="C78" i="1" a="1"/>
  <c r="C78" i="1" s="1"/>
  <c r="C38" i="1" a="1"/>
  <c r="C38" i="1" s="1"/>
  <c r="C76" i="1" a="1"/>
  <c r="C76" i="1" s="1"/>
  <c r="C34" i="1" a="1"/>
  <c r="C34" i="1" s="1"/>
  <c r="C26" i="1" a="1"/>
  <c r="C26" i="1" s="1"/>
  <c r="C103" i="1" a="1"/>
  <c r="C103" i="1" s="1"/>
  <c r="C29" i="1" a="1"/>
  <c r="C29" i="1" s="1"/>
  <c r="C136" i="1" a="1"/>
  <c r="C136" i="1" s="1"/>
  <c r="C129" i="1" a="1"/>
  <c r="C129" i="1" s="1"/>
  <c r="C122" i="1" a="1"/>
  <c r="C122" i="1" s="1"/>
  <c r="C112" i="1" a="1"/>
  <c r="C112" i="1" s="1"/>
  <c r="C109" i="1" a="1"/>
  <c r="C109" i="1" s="1"/>
  <c r="P19" i="9"/>
  <c r="P24" i="9" s="1"/>
  <c r="M7" i="9" s="1"/>
  <c r="I107" i="1"/>
  <c r="G6" i="9"/>
  <c r="F21" i="1" l="1"/>
  <c r="D142" i="1"/>
  <c r="E142" i="1"/>
  <c r="F139" i="1"/>
  <c r="E81" i="1"/>
  <c r="D81" i="1"/>
  <c r="E111" i="1"/>
  <c r="D111" i="1"/>
  <c r="C23" i="1"/>
  <c r="E23" i="1"/>
  <c r="D23" i="1"/>
  <c r="E16" i="1"/>
  <c r="D16" i="1"/>
  <c r="D58" i="1"/>
  <c r="E58" i="1"/>
  <c r="C25" i="1"/>
  <c r="D25" i="1"/>
  <c r="E25" i="1"/>
  <c r="F113" i="1"/>
  <c r="G113" i="1" s="1"/>
  <c r="H113" i="1" s="1"/>
  <c r="I113" i="1" s="1"/>
  <c r="J113" i="1" s="1"/>
  <c r="C81" i="1"/>
  <c r="F13" i="1"/>
  <c r="D77" i="1"/>
  <c r="E77" i="1"/>
  <c r="J107" i="1"/>
  <c r="I6" i="9" s="1"/>
  <c r="H6" i="9"/>
  <c r="E48" i="1"/>
  <c r="G48" i="1"/>
  <c r="H48" i="1" s="1"/>
  <c r="I48" i="1" s="1"/>
  <c r="J48" i="1" s="1"/>
  <c r="G21" i="1"/>
  <c r="F23" i="1" l="1"/>
  <c r="G23" i="1" s="1"/>
  <c r="H23" i="1" s="1"/>
  <c r="I23" i="1" s="1"/>
  <c r="J23" i="1" s="1"/>
  <c r="C77" i="1"/>
  <c r="C111" i="1"/>
  <c r="C142" i="1"/>
  <c r="C16" i="1"/>
  <c r="H142" i="1"/>
  <c r="G13" i="1"/>
  <c r="H13" i="1" s="1"/>
  <c r="C58" i="1"/>
  <c r="H21" i="1"/>
  <c r="I21" i="1" s="1"/>
  <c r="J21" i="1" s="1"/>
  <c r="D48" i="1"/>
  <c r="F78" i="1"/>
  <c r="G78" i="1" l="1"/>
  <c r="C48" i="1"/>
  <c r="C92" i="1" l="1" a="1"/>
  <c r="C92" i="1" s="1"/>
  <c r="C59" i="1" a="1"/>
  <c r="C59" i="1" s="1"/>
  <c r="C88" i="1" a="1"/>
  <c r="C88" i="1" s="1"/>
  <c r="C85" i="1" a="1"/>
  <c r="C85" i="1" s="1"/>
  <c r="C52" i="1" a="1"/>
  <c r="C52" i="1" s="1"/>
  <c r="C82" i="1" a="1"/>
  <c r="C82" i="1" s="1"/>
  <c r="C97" i="1" a="1"/>
  <c r="C97" i="1" s="1"/>
  <c r="C71" i="1" a="1"/>
  <c r="C71" i="1" s="1"/>
  <c r="C62" i="1" a="1"/>
  <c r="C62" i="1" s="1"/>
  <c r="H78" i="1"/>
  <c r="F77" i="1"/>
  <c r="G77" i="1" s="1"/>
  <c r="E33" i="1" l="1"/>
  <c r="D33" i="1"/>
  <c r="C33" i="1"/>
  <c r="F33" i="1" s="1"/>
  <c r="G33" i="1" s="1"/>
  <c r="E87" i="1"/>
  <c r="D87" i="1"/>
  <c r="C87" i="1"/>
  <c r="F87" i="1" s="1"/>
  <c r="G87" i="1" s="1"/>
  <c r="F85" i="1"/>
  <c r="G85" i="1" s="1"/>
  <c r="H85" i="1" s="1"/>
  <c r="I85" i="1" s="1"/>
  <c r="J85" i="1" s="1"/>
  <c r="D56" i="1"/>
  <c r="E56" i="1"/>
  <c r="C56" i="1"/>
  <c r="F88" i="1"/>
  <c r="G88" i="1" s="1"/>
  <c r="H88" i="1" s="1"/>
  <c r="I88" i="1" s="1"/>
  <c r="J88" i="1" s="1"/>
  <c r="F89" i="1"/>
  <c r="G89" i="1" s="1"/>
  <c r="H89" i="1" s="1"/>
  <c r="I89" i="1" s="1"/>
  <c r="J89" i="1" s="1"/>
  <c r="F92" i="1"/>
  <c r="G92" i="1" s="1"/>
  <c r="H92" i="1" s="1"/>
  <c r="I92" i="1" s="1"/>
  <c r="J92" i="1" s="1"/>
  <c r="F71" i="1"/>
  <c r="G71" i="1" s="1"/>
  <c r="H71" i="1" s="1"/>
  <c r="I71" i="1" s="1"/>
  <c r="F53" i="1"/>
  <c r="G53" i="1" s="1"/>
  <c r="H53" i="1" s="1"/>
  <c r="F54" i="1"/>
  <c r="G54" i="1" s="1"/>
  <c r="F59" i="1"/>
  <c r="G59" i="1" s="1"/>
  <c r="H59" i="1" s="1"/>
  <c r="I59" i="1" s="1"/>
  <c r="J59" i="1" s="1"/>
  <c r="F68" i="1"/>
  <c r="G68" i="1" s="1"/>
  <c r="H68" i="1" s="1"/>
  <c r="I68" i="1" s="1"/>
  <c r="J68" i="1" s="1"/>
  <c r="F99" i="1"/>
  <c r="G99" i="1" s="1"/>
  <c r="H99" i="1" s="1"/>
  <c r="I99" i="1" s="1"/>
  <c r="J99" i="1" s="1"/>
  <c r="F97" i="1"/>
  <c r="G97" i="1" s="1"/>
  <c r="H97" i="1" s="1"/>
  <c r="I97" i="1" s="1"/>
  <c r="J97" i="1" s="1"/>
  <c r="F100" i="1"/>
  <c r="G100" i="1" s="1"/>
  <c r="H100" i="1" s="1"/>
  <c r="I100" i="1" s="1"/>
  <c r="J100" i="1" s="1"/>
  <c r="F58" i="1"/>
  <c r="G58" i="1" s="1"/>
  <c r="F81" i="1"/>
  <c r="G81" i="1" s="1"/>
  <c r="F111" i="1"/>
  <c r="F25" i="1"/>
  <c r="F16" i="1"/>
  <c r="H33" i="1"/>
  <c r="I78" i="1"/>
  <c r="H77" i="1"/>
  <c r="F56" i="1" l="1"/>
  <c r="F32" i="1"/>
  <c r="H32" i="1"/>
  <c r="G32" i="1"/>
  <c r="G56" i="1"/>
  <c r="G16" i="1"/>
  <c r="G25" i="1"/>
  <c r="G111" i="1"/>
  <c r="H111" i="1" s="1"/>
  <c r="I111" i="1" s="1"/>
  <c r="I33" i="1"/>
  <c r="I32" i="1" s="1"/>
  <c r="J78" i="1"/>
  <c r="I77" i="1"/>
  <c r="J71" i="1"/>
  <c r="H54" i="1"/>
  <c r="I54" i="1" s="1"/>
  <c r="J54" i="1" s="1"/>
  <c r="I53" i="1"/>
  <c r="J53" i="1" s="1"/>
  <c r="I13" i="1" l="1"/>
  <c r="F12" i="1"/>
  <c r="J111" i="1"/>
  <c r="J33" i="1"/>
  <c r="J32" i="1" s="1"/>
  <c r="J77" i="1"/>
  <c r="F15" i="1" l="1"/>
  <c r="F76" i="1" s="1"/>
  <c r="F117" i="1" s="1"/>
  <c r="F55" i="1"/>
  <c r="F115" i="1" s="1"/>
  <c r="F110" i="1"/>
  <c r="F34" i="1" s="1"/>
  <c r="F24" i="1"/>
  <c r="F80" i="1"/>
  <c r="F57" i="1"/>
  <c r="F116" i="1" s="1"/>
  <c r="F86" i="1"/>
  <c r="F90" i="1" s="1"/>
  <c r="G12" i="1"/>
  <c r="G110" i="1" s="1"/>
  <c r="F141" i="1"/>
  <c r="F122" i="1" s="1"/>
  <c r="F127" i="1" s="1"/>
  <c r="F20" i="1"/>
  <c r="F22" i="1"/>
  <c r="F27" i="1" l="1"/>
  <c r="F29" i="1" s="1"/>
  <c r="F35" i="1" s="1"/>
  <c r="E8" i="9" s="1"/>
  <c r="F17" i="1"/>
  <c r="F18" i="1" s="1"/>
  <c r="F83" i="1"/>
  <c r="F93" i="1" s="1"/>
  <c r="F62" i="1"/>
  <c r="F69" i="1" s="1"/>
  <c r="G22" i="1"/>
  <c r="G20" i="1"/>
  <c r="G141" i="1"/>
  <c r="G122" i="1" s="1"/>
  <c r="G127" i="1" s="1"/>
  <c r="G55" i="1"/>
  <c r="G115" i="1" s="1"/>
  <c r="G86" i="1"/>
  <c r="G90" i="1" s="1"/>
  <c r="G80" i="1"/>
  <c r="G15" i="1"/>
  <c r="G76" i="1" s="1"/>
  <c r="G57" i="1"/>
  <c r="G116" i="1" s="1"/>
  <c r="H12" i="1"/>
  <c r="H110" i="1" s="1"/>
  <c r="G24" i="1"/>
  <c r="G27" i="1" l="1"/>
  <c r="G29" i="1" s="1"/>
  <c r="G35" i="1" s="1"/>
  <c r="F8" i="9" s="1"/>
  <c r="F39" i="1"/>
  <c r="F41" i="1" s="1"/>
  <c r="F42" i="1" s="1"/>
  <c r="F98" i="1" s="1"/>
  <c r="F101" i="1" s="1"/>
  <c r="F103" i="1" s="1"/>
  <c r="F30" i="1"/>
  <c r="G83" i="1"/>
  <c r="G93" i="1" s="1"/>
  <c r="H22" i="1"/>
  <c r="G17" i="1"/>
  <c r="G18" i="1" s="1"/>
  <c r="G62" i="1"/>
  <c r="G69" i="1" s="1"/>
  <c r="I12" i="1"/>
  <c r="I110" i="1" s="1"/>
  <c r="H20" i="1"/>
  <c r="H141" i="1"/>
  <c r="H122" i="1" s="1"/>
  <c r="H127" i="1" s="1"/>
  <c r="G117" i="1"/>
  <c r="F44" i="1" l="1"/>
  <c r="F109" i="1"/>
  <c r="F120" i="1" s="1"/>
  <c r="F137" i="1" s="1"/>
  <c r="F138" i="1" s="1"/>
  <c r="G39" i="1"/>
  <c r="G41" i="1" s="1"/>
  <c r="G42" i="1" s="1"/>
  <c r="G44" i="1" s="1"/>
  <c r="I22" i="1"/>
  <c r="I20" i="1"/>
  <c r="H62" i="1"/>
  <c r="H69" i="1" s="1"/>
  <c r="J12" i="1"/>
  <c r="F140" i="1" l="1"/>
  <c r="F143" i="1" s="1"/>
  <c r="E10" i="9" s="1"/>
  <c r="E11" i="9" s="1"/>
  <c r="F52" i="1"/>
  <c r="F60" i="1" s="1"/>
  <c r="G139" i="1"/>
  <c r="G98" i="1"/>
  <c r="G101" i="1" s="1"/>
  <c r="G103" i="1" s="1"/>
  <c r="G109" i="1"/>
  <c r="G120" i="1" s="1"/>
  <c r="G140" i="1" s="1"/>
  <c r="J22" i="1"/>
  <c r="J20" i="1"/>
  <c r="J110" i="1"/>
  <c r="F114" i="1" l="1"/>
  <c r="F72" i="1"/>
  <c r="G137" i="1"/>
  <c r="G138" i="1" s="1"/>
  <c r="H139" i="1" s="1"/>
  <c r="G52" i="1" l="1"/>
  <c r="G60" i="1" s="1"/>
  <c r="G72" i="1" s="1"/>
  <c r="G34" i="1" s="1"/>
  <c r="G30" i="1" s="1"/>
  <c r="G114" i="1" l="1"/>
  <c r="G143" i="1" s="1"/>
  <c r="F10" i="9" s="1"/>
  <c r="F11" i="9" s="1"/>
  <c r="H58" i="1"/>
  <c r="H87" i="1"/>
  <c r="H16" i="1"/>
  <c r="H25" i="1"/>
  <c r="H81" i="1"/>
  <c r="I142" i="1"/>
  <c r="H56" i="1"/>
  <c r="H24" i="1" l="1"/>
  <c r="H27" i="1" s="1"/>
  <c r="I25" i="1"/>
  <c r="H15" i="1"/>
  <c r="H17" i="1" s="1"/>
  <c r="H18" i="1" s="1"/>
  <c r="I16" i="1"/>
  <c r="I15" i="1" s="1"/>
  <c r="H80" i="1"/>
  <c r="I81" i="1"/>
  <c r="I80" i="1" s="1"/>
  <c r="H57" i="1"/>
  <c r="H116" i="1" s="1"/>
  <c r="I58" i="1"/>
  <c r="I141" i="1"/>
  <c r="I122" i="1" s="1"/>
  <c r="I127" i="1" s="1"/>
  <c r="J142" i="1"/>
  <c r="J141" i="1" s="1"/>
  <c r="J122" i="1" s="1"/>
  <c r="J127" i="1" s="1"/>
  <c r="I56" i="1"/>
  <c r="I55" i="1" s="1"/>
  <c r="H55" i="1"/>
  <c r="I87" i="1"/>
  <c r="H86" i="1"/>
  <c r="H90" i="1" s="1"/>
  <c r="H76" i="1" l="1"/>
  <c r="H83" i="1" s="1"/>
  <c r="H93" i="1" s="1"/>
  <c r="H29" i="1"/>
  <c r="H35" i="1" s="1"/>
  <c r="H39" i="1" s="1"/>
  <c r="H41" i="1" s="1"/>
  <c r="H42" i="1" s="1"/>
  <c r="J25" i="1"/>
  <c r="J24" i="1" s="1"/>
  <c r="J27" i="1" s="1"/>
  <c r="I24" i="1"/>
  <c r="I27" i="1" s="1"/>
  <c r="I29" i="1" s="1"/>
  <c r="I35" i="1" s="1"/>
  <c r="J16" i="1"/>
  <c r="J15" i="1" s="1"/>
  <c r="J17" i="1" s="1"/>
  <c r="J18" i="1" s="1"/>
  <c r="I76" i="1"/>
  <c r="I17" i="1"/>
  <c r="I18" i="1" s="1"/>
  <c r="J81" i="1"/>
  <c r="J80" i="1" s="1"/>
  <c r="J58" i="1"/>
  <c r="J57" i="1" s="1"/>
  <c r="I57" i="1"/>
  <c r="J56" i="1"/>
  <c r="J55" i="1" s="1"/>
  <c r="J115" i="1" s="1"/>
  <c r="I62" i="1"/>
  <c r="J62" i="1" s="1"/>
  <c r="J69" i="1" s="1"/>
  <c r="H115" i="1"/>
  <c r="I115" i="1"/>
  <c r="J87" i="1"/>
  <c r="J86" i="1" s="1"/>
  <c r="J90" i="1" s="1"/>
  <c r="I86" i="1"/>
  <c r="I90" i="1" s="1"/>
  <c r="H117" i="1" l="1"/>
  <c r="I117" i="1"/>
  <c r="J76" i="1"/>
  <c r="J83" i="1" s="1"/>
  <c r="J93" i="1" s="1"/>
  <c r="J116" i="1"/>
  <c r="G8" i="9"/>
  <c r="J29" i="1"/>
  <c r="J35" i="1" s="1"/>
  <c r="J39" i="1" s="1"/>
  <c r="J41" i="1" s="1"/>
  <c r="J42" i="1" s="1"/>
  <c r="H8" i="9"/>
  <c r="I39" i="1"/>
  <c r="I41" i="1" s="1"/>
  <c r="I42" i="1" s="1"/>
  <c r="I83" i="1"/>
  <c r="I93" i="1" s="1"/>
  <c r="I116" i="1"/>
  <c r="I69" i="1"/>
  <c r="H44" i="1"/>
  <c r="H109" i="1"/>
  <c r="H120" i="1" s="1"/>
  <c r="H98" i="1"/>
  <c r="J117" i="1" l="1"/>
  <c r="I8" i="9"/>
  <c r="I44" i="1"/>
  <c r="I109" i="1"/>
  <c r="I120" i="1" s="1"/>
  <c r="J109" i="1"/>
  <c r="J44" i="1"/>
  <c r="H137" i="1"/>
  <c r="H138" i="1" s="1"/>
  <c r="H140" i="1"/>
  <c r="H101" i="1"/>
  <c r="H103" i="1" s="1"/>
  <c r="I98" i="1"/>
  <c r="J120" i="1" l="1"/>
  <c r="J137" i="1" s="1"/>
  <c r="I140" i="1"/>
  <c r="I137" i="1"/>
  <c r="J98" i="1"/>
  <c r="J101" i="1" s="1"/>
  <c r="J103" i="1" s="1"/>
  <c r="I101" i="1"/>
  <c r="I103" i="1" s="1"/>
  <c r="I139" i="1"/>
  <c r="H52" i="1"/>
  <c r="H60" i="1" s="1"/>
  <c r="J140" i="1" l="1"/>
  <c r="I138" i="1"/>
  <c r="J139" i="1" s="1"/>
  <c r="J138" i="1" s="1"/>
  <c r="J52" i="1" s="1"/>
  <c r="J60" i="1" s="1"/>
  <c r="J72" i="1" s="1"/>
  <c r="J34" i="1" s="1"/>
  <c r="J30" i="1" s="1"/>
  <c r="H114" i="1"/>
  <c r="H143" i="1" s="1"/>
  <c r="G10" i="9" s="1"/>
  <c r="G11" i="9" s="1"/>
  <c r="H72" i="1"/>
  <c r="H34" i="1" s="1"/>
  <c r="H30" i="1" s="1"/>
  <c r="I52" i="1" l="1"/>
  <c r="I60" i="1" s="1"/>
  <c r="I114" i="1" s="1"/>
  <c r="I143" i="1" s="1"/>
  <c r="H10" i="9" s="1"/>
  <c r="H11" i="9" s="1"/>
  <c r="I72" i="1" l="1"/>
  <c r="I34" i="1" s="1"/>
  <c r="I30" i="1" s="1"/>
  <c r="J114" i="1"/>
  <c r="J143" i="1" s="1"/>
  <c r="I10" i="9" s="1"/>
  <c r="M10" i="9" l="1"/>
  <c r="M12" i="9" s="1"/>
  <c r="I11" i="9"/>
  <c r="M13" i="9"/>
  <c r="M14" i="9" l="1"/>
  <c r="M17" i="9" s="1"/>
  <c r="M19" i="9" s="1"/>
  <c r="M22" i="9" s="1"/>
  <c r="D19" i="9" l="1"/>
  <c r="K22" i="9"/>
  <c r="B19" i="9"/>
  <c r="M23" i="9"/>
  <c r="K23" i="9" s="1"/>
  <c r="D20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tc={91D372AD-491A-0646-A282-8D70B3A7578B}</author>
  </authors>
  <commentList>
    <comment ref="B5" authorId="0" shapeId="0" xr:uid="{91D372AD-491A-0646-A282-8D70B3A7578B}">
      <text>
        <t>[Threaded comment]
Your version of Excel allows you to read this threaded comment; however, any edits to it will get removed if the file is opened in a newer version of Excel. Learn more: https://go.microsoft.com/fwlink/?linkid=870924
Comment:
    Make sure to use the Yahoo Finance Ticker system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tc={909551D0-E63A-9C46-A26D-6C908861E61D}</author>
    <author>tc={D79FC4B2-BC21-AD4A-AE18-1BA0A46FEBA3}</author>
  </authors>
  <commentList>
    <comment ref="B2" authorId="0" shapeId="0" xr:uid="{909551D0-E63A-9C46-A26D-6C908861E61D}">
      <text>
        <t>[Threaded comment]
Your version of Excel allows you to read this threaded comment; however, any edits to it will get removed if the file is opened in a newer version of Excel. Learn more: https://go.microsoft.com/fwlink/?linkid=870924
Comment:
    Make sure to use the Yahoo Finance Ticker system</t>
      </text>
    </comment>
    <comment ref="B7" authorId="1" shapeId="0" xr:uid="{D79FC4B2-BC21-AD4A-AE18-1BA0A46FEBA3}">
      <text>
        <t>[Threaded comment]
Your version of Excel allows you to read this threaded comment; however, any edits to it will get removed if the file is opened in a newer version of Excel. Learn more: https://go.microsoft.com/fwlink/?linkid=870924
Comment:
    What you expect the tax rate to be. You can use historical data and current tax rates to help in your projection.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tc={D5007730-A2DC-E949-B251-E451C3D37985}</author>
    <author>tc={1D7A17A8-EDEF-4C40-8D04-CF49C7DA7D36}</author>
    <author>tc={3531CD59-D7AA-B043-AA81-553A22C7C10A}</author>
    <author>tc={BE6AD8E1-337E-B946-84B2-AF9BFA86EC35}</author>
    <author>tc={A1B19925-8874-774F-A066-ACD4F1364327}</author>
    <author>tc={340551D5-AFCC-8941-A9A6-1B7325500CA6}</author>
    <author>tc={D680D3E4-E156-EF4A-89D4-33D1995285A5}</author>
    <author>tc={65823633-F760-BB49-8C3F-8B135A765B6F}</author>
    <author>tc={BBE9CBBA-269E-9349-BF22-E545D4D079A9}</author>
    <author>tc={C8E14AFC-25AE-E04B-B0DC-BF81456FBD82}</author>
    <author>tc={EE231B01-2BED-424F-8E1D-C184A6F4F1C8}</author>
    <author>tc={9CC697E7-0463-194D-84EF-9B27CD14E4F4}</author>
    <author>tc={59EF2761-8E49-5E47-9973-29DC97906600}</author>
    <author>tc={2A52C7F4-D0C9-764C-BC7A-B56FA530A998}</author>
  </authors>
  <commentList>
    <comment ref="K7" authorId="0" shapeId="0" xr:uid="{D5007730-A2DC-E949-B251-E451C3D37985}">
      <text>
        <t>[Threaded comment]
Your version of Excel allows you to read this threaded comment; however, any edits to it will get removed if the file is opened in a newer version of Excel. Learn more: https://go.microsoft.com/fwlink/?linkid=870924
Comment:
    Reflects the rate of return required by an investor. Typically comprises the risk-free rate, stock beta, and market risk premium.
Risk-free rate: Check current yields on 10-year government bonds.
Stock beta: Yahoo Finance or Wisesheets.
Market risk premium: Historical averages 5%-7%; may vary.</t>
      </text>
    </comment>
    <comment ref="O7" authorId="1" shapeId="0" xr:uid="{1D7A17A8-EDEF-4C40-8D04-CF49C7DA7D36}">
      <text>
        <t>[Threaded comment]
Your version of Excel allows you to read this threaded comment; however, any edits to it will get removed if the file is opened in a newer version of Excel. Learn more: https://go.microsoft.com/fwlink/?linkid=870924
Comment:
    Yield on 10-year U.S. government bonds. Commonly used as the risk-free rate in financial analysis.</t>
      </text>
    </comment>
    <comment ref="K9" authorId="2" shapeId="0" xr:uid="{3531CD59-D7AA-B043-AA81-553A22C7C10A}">
      <text>
        <t>[Threaded comment]
Your version of Excel allows you to read this threaded comment; however, any edits to it will get removed if the file is opened in a newer version of Excel. Learn more: https://go.microsoft.com/fwlink/?linkid=870924
Comment:
    The perpetual growth rate applied to future cash flows beyond a projection period when valuing a company using the Discounted Cash Flow (DCF) method. Typically a small, stable rate to represent mature growth.
Often assumed between 2%-3%, reflecting long-term inflation and GDP growth, but can vary based on industry and economy.</t>
      </text>
    </comment>
    <comment ref="K10" authorId="3" shapeId="0" xr:uid="{BE6AD8E1-337E-B946-84B2-AF9BFA86EC35}">
      <text>
        <t>[Threaded comment]
Your version of Excel allows you to read this threaded comment; however, any edits to it will get removed if the file is opened in a newer version of Excel. Learn more: https://go.microsoft.com/fwlink/?linkid=870924
Comment:
    Terminal value estimates a company's value beyond forecast period in stock analysis.
Calculation Methods:
Perpetuity Growth Model: Final Cash Flow * (1 + Growth Rate) / (Discount Rate - Growth Rate)
Exit Multiple Method: Terminal Metric * Chosen Multiple</t>
      </text>
    </comment>
    <comment ref="O10" authorId="4" shapeId="0" xr:uid="{A1B19925-8874-774F-A066-ACD4F1364327}">
      <text>
        <t>[Threaded comment]
Your version of Excel allows you to read this threaded comment; however, any edits to it will get removed if the file is opened in a newer version of Excel. Learn more: https://go.microsoft.com/fwlink/?linkid=870924
Comment:
    Represents the theoretical return on an investment with zero risk. Often derived from the yield on 10-year U.S. government bonds.</t>
      </text>
    </comment>
    <comment ref="O11" authorId="5" shapeId="0" xr:uid="{340551D5-AFCC-8941-A9A6-1B7325500CA6}">
      <text>
        <t>[Threaded comment]
Your version of Excel allows you to read this threaded comment; however, any edits to it will get removed if the file is opened in a newer version of Excel. Learn more: https://go.microsoft.com/fwlink/?linkid=870924
Comment:
    Measures a stock's volatility in relation to the overall market. 
A beta &gt;1 indicates higher volatility than the market, while &lt;1 suggests lower volatility.</t>
      </text>
    </comment>
    <comment ref="O12" authorId="6" shapeId="0" xr:uid="{D680D3E4-E156-EF4A-89D4-33D1995285A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Represents the expected return of the overall market or benchmark index (e.g., S&amp;P 500).
Historical averages 5%-7%; may vary.</t>
      </text>
    </comment>
    <comment ref="O13" authorId="7" shapeId="0" xr:uid="{65823633-F760-BB49-8C3F-8B135A765B6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The return a company is expected to provide to its shareholders for their equity investment.
Usually calculated using the CAPM: https://blog.wisesheets.io/how-to-calculate-the-expected-return-of-a-stock-using-the-capm-capitalized-asset-pricing-model/
</t>
      </text>
    </comment>
    <comment ref="K14" authorId="8" shapeId="0" xr:uid="{BBE9CBBA-269E-9349-BF22-E545D4D079A9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Value measures a company's total value, including both its equity and debt.</t>
      </text>
    </comment>
    <comment ref="K17" authorId="9" shapeId="0" xr:uid="{C8E14AFC-25AE-E04B-B0DC-BF81456FBD82}">
      <text>
        <t>[Threaded comment]
Your version of Excel allows you to read this threaded comment; however, any edits to it will get removed if the file is opened in a newer version of Excel. Learn more: https://go.microsoft.com/fwlink/?linkid=870924
Comment:
    Implied Equity Value represents the calculated value of a company's equity based on its market price and given financial metrics.</t>
      </text>
    </comment>
    <comment ref="O19" authorId="10" shapeId="0" xr:uid="{EE231B01-2BED-424F-8E1D-C184A6F4F1C8}">
      <text>
        <t>[Threaded comment]
Your version of Excel allows you to read this threaded comment; however, any edits to it will get removed if the file is opened in a newer version of Excel. Learn more: https://go.microsoft.com/fwlink/?linkid=870924
Comment:
    Represents the total market value of a company's equity, often calculated by multiplying the stock price by the number of outstanding shares.</t>
      </text>
    </comment>
    <comment ref="O21" authorId="11" shapeId="0" xr:uid="{9CC697E7-0463-194D-84EF-9B27CD14E4F4}">
      <text>
        <t>[Threaded comment]
Your version of Excel allows you to read this threaded comment; however, any edits to it will get removed if the file is opened in a newer version of Excel. Learn more: https://go.microsoft.com/fwlink/?linkid=870924
Comment:
    Represents the total market value of a company's long-term debt.</t>
      </text>
    </comment>
    <comment ref="O22" authorId="12" shapeId="0" xr:uid="{59EF2761-8E49-5E47-9973-29DC97906600}">
      <text>
        <t>[Threaded comment]
Your version of Excel allows you to read this threaded comment; however, any edits to it will get removed if the file is opened in a newer version of Excel. Learn more: https://go.microsoft.com/fwlink/?linkid=870924
Comment:
    The effective interest rate a company pays on its debt. It's often adjusted for tax because interest expense is tax-deductible.</t>
      </text>
    </comment>
    <comment ref="O24" authorId="13" shapeId="0" xr:uid="{2A52C7F4-D0C9-764C-BC7A-B56FA530A998}">
      <text>
        <t>[Threaded comment]
Your version of Excel allows you to read this threaded comment; however, any edits to it will get removed if the file is opened in a newer version of Excel. Learn more: https://go.microsoft.com/fwlink/?linkid=870924
Comment:
    Reflects the rate of return required by an investor. Typically comprises the risk-free rate, stock beta, and market risk premium.
Risk-free rate: Check current yields on 10-year government bonds.
Stock beta: Yahoo Finance or Wisesheets.
Market risk premium: Historical averages 5%-7%; may vary.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2">
    <bk>
      <extLst>
        <ext uri="{3e2802c4-a4d2-4d8b-9148-e3be6c30e623}">
          <xlrd:rvb i="2"/>
        </ext>
      </extLst>
    </bk>
    <bk>
      <extLst>
        <ext uri="{3e2802c4-a4d2-4d8b-9148-e3be6c30e623}">
          <xlrd:rvb i="5"/>
        </ext>
      </extLst>
    </bk>
  </futureMetadata>
  <cellMetadata count="1">
    <bk>
      <rc t="1" v="0"/>
    </bk>
  </cellMetadata>
  <valueMetadata count="2">
    <bk>
      <rc t="2" v="0"/>
    </bk>
    <bk>
      <rc t="2" v="1"/>
    </bk>
  </valueMetadata>
</metadata>
</file>

<file path=xl/sharedStrings.xml><?xml version="1.0" encoding="utf-8"?>
<sst xmlns="http://schemas.openxmlformats.org/spreadsheetml/2006/main" count="188" uniqueCount="162">
  <si>
    <t>Yellow cells are to be entered in manually or if left blank will be filled with the average of previous years statements model</t>
  </si>
  <si>
    <t>Year</t>
  </si>
  <si>
    <t>Quarter</t>
  </si>
  <si>
    <t>Q2</t>
  </si>
  <si>
    <t>Tickers</t>
  </si>
  <si>
    <t>Name</t>
  </si>
  <si>
    <t>Price</t>
  </si>
  <si>
    <t>PE</t>
  </si>
  <si>
    <t>(millions of $'s)</t>
  </si>
  <si>
    <t>Market Cap</t>
  </si>
  <si>
    <t>Revenue Per Share</t>
  </si>
  <si>
    <t>Revenue Growth</t>
  </si>
  <si>
    <t>EPS</t>
  </si>
  <si>
    <t>Dividend Yield</t>
  </si>
  <si>
    <t>Ticker</t>
  </si>
  <si>
    <t>Currency</t>
  </si>
  <si>
    <t>USD</t>
  </si>
  <si>
    <t>Current Year</t>
  </si>
  <si>
    <t>Shares Outstanding</t>
  </si>
  <si>
    <t>Estimated Tax Rate</t>
  </si>
  <si>
    <t>Income Statement</t>
  </si>
  <si>
    <t>FY</t>
  </si>
  <si>
    <t>E</t>
  </si>
  <si>
    <t>Revenue</t>
  </si>
  <si>
    <t>Cost of Revenue</t>
  </si>
  <si>
    <t>COGS % of Revenue</t>
  </si>
  <si>
    <t>Gross Profit</t>
  </si>
  <si>
    <t>Gross Profit Ratio</t>
  </si>
  <si>
    <t>Research And Development Expenses</t>
  </si>
  <si>
    <t>Sales General And Administrative To Revenue</t>
  </si>
  <si>
    <t>Selling And Marketing Expenses</t>
  </si>
  <si>
    <t>Marketing Expense to Revenue</t>
  </si>
  <si>
    <t>Other Expenses</t>
  </si>
  <si>
    <t>Operating Expenses</t>
  </si>
  <si>
    <t>Cost And Expenses</t>
  </si>
  <si>
    <t>EBITDA</t>
  </si>
  <si>
    <t>EBITDAratio</t>
  </si>
  <si>
    <t>Interest Expense</t>
  </si>
  <si>
    <t>Interest Expense (% of LT Debt)</t>
  </si>
  <si>
    <t>Depreciation And Amortization</t>
  </si>
  <si>
    <t>Operating Income</t>
  </si>
  <si>
    <t>Operating Income Ratio</t>
  </si>
  <si>
    <t>Total Other Income Expenses Net</t>
  </si>
  <si>
    <t>Income Before Tax</t>
  </si>
  <si>
    <t>Income Before Tax Ratio</t>
  </si>
  <si>
    <t>Income Tax Expense</t>
  </si>
  <si>
    <t>Net Income</t>
  </si>
  <si>
    <t>Balance Sheet</t>
  </si>
  <si>
    <t>Assets</t>
  </si>
  <si>
    <t>Cash And Cash Equivalents</t>
  </si>
  <si>
    <t>Short Term Investments</t>
  </si>
  <si>
    <t>Cash And Short Term Investments</t>
  </si>
  <si>
    <t>Net Receivables</t>
  </si>
  <si>
    <t>Net Receivable(% of Revenue)</t>
  </si>
  <si>
    <t>Inventory</t>
  </si>
  <si>
    <t>Inventory(% of Revenue)</t>
  </si>
  <si>
    <t>Other Current Assets</t>
  </si>
  <si>
    <t>Total Current Assets</t>
  </si>
  <si>
    <t>Property Plant Equipment Net</t>
  </si>
  <si>
    <t>Goodwill</t>
  </si>
  <si>
    <t>Intangible Assets</t>
  </si>
  <si>
    <t>Goodwill And Intangible Assets</t>
  </si>
  <si>
    <t>Long Term Investments</t>
  </si>
  <si>
    <t>Tax Assets</t>
  </si>
  <si>
    <t>Other Non Current Assets</t>
  </si>
  <si>
    <t>Total Non Current Assets</t>
  </si>
  <si>
    <t>Other Assets</t>
  </si>
  <si>
    <t>Total Assets</t>
  </si>
  <si>
    <t>Liabilities</t>
  </si>
  <si>
    <t>Account Payables</t>
  </si>
  <si>
    <t>AP (% of COGS)</t>
  </si>
  <si>
    <t>Short Term Debt</t>
  </si>
  <si>
    <t>Tax Payables</t>
  </si>
  <si>
    <t>Deferred Revenue</t>
  </si>
  <si>
    <t>Deferred Revenue (% of Revenue)</t>
  </si>
  <si>
    <t>Other Current Liabilities</t>
  </si>
  <si>
    <t>Total Current Liabilities</t>
  </si>
  <si>
    <t>Long Term Debt</t>
  </si>
  <si>
    <t>Deferred Revenue Non Current</t>
  </si>
  <si>
    <t>DRNC (% of Revenue)</t>
  </si>
  <si>
    <t>Deferred Tax Liabilities Non Current</t>
  </si>
  <si>
    <t>Other Non Current Liabilities</t>
  </si>
  <si>
    <t>Total Non Current Liabilities</t>
  </si>
  <si>
    <t>Other Liabilities</t>
  </si>
  <si>
    <t>Total Liabilities</t>
  </si>
  <si>
    <t>Stockholders Equity</t>
  </si>
  <si>
    <t>Common Stock</t>
  </si>
  <si>
    <t>Retained Earnings</t>
  </si>
  <si>
    <t>Accumulated Other Comprehensive Income Loss</t>
  </si>
  <si>
    <t>Othertotal Stockholders Equity</t>
  </si>
  <si>
    <t>Total Stockholders Equity</t>
  </si>
  <si>
    <t>Total Liabilities and Stockholders Equity</t>
  </si>
  <si>
    <t>Cash Flows</t>
  </si>
  <si>
    <t>D&amp;A (% of Revenue)</t>
  </si>
  <si>
    <t>Deferred Income Tax</t>
  </si>
  <si>
    <t>Stock Based Compensation</t>
  </si>
  <si>
    <t>Change In Working Capital</t>
  </si>
  <si>
    <t>Accounts Receivables</t>
  </si>
  <si>
    <t>Accounts Payables</t>
  </si>
  <si>
    <t>Other Working Capital</t>
  </si>
  <si>
    <t>Other Non Cash Items</t>
  </si>
  <si>
    <t>Net Cash Provided By Operating Activities</t>
  </si>
  <si>
    <t>Investments In Property Plant And Equipment</t>
  </si>
  <si>
    <t>Acquisitions Net</t>
  </si>
  <si>
    <t>Purchases Of Investments</t>
  </si>
  <si>
    <t>Sales Maturities Of Investments</t>
  </si>
  <si>
    <t>Other Investing Activites</t>
  </si>
  <si>
    <t>Net Cash Used For Investing Activites</t>
  </si>
  <si>
    <t>Debt Repayment</t>
  </si>
  <si>
    <t>Common Stock Issued</t>
  </si>
  <si>
    <t>Common Stock Repurchased</t>
  </si>
  <si>
    <t>Dividends Paid</t>
  </si>
  <si>
    <t>Other Financing Activites</t>
  </si>
  <si>
    <t>Net Cash Used Provided By Financing Activities</t>
  </si>
  <si>
    <t>Effect Of Forex Changes On Cash</t>
  </si>
  <si>
    <t>Net Change In Cash</t>
  </si>
  <si>
    <t>Cash At End Of Period</t>
  </si>
  <si>
    <t>Cash At Beginning Of Period</t>
  </si>
  <si>
    <t>Operating Cash Flow</t>
  </si>
  <si>
    <t>Capital Expenditure</t>
  </si>
  <si>
    <t>CapEx (% of Revenue)</t>
  </si>
  <si>
    <t>Free Cash Flow</t>
  </si>
  <si>
    <t>Discounted Cash Flow Analysis</t>
  </si>
  <si>
    <t>Cash Flow Projections</t>
  </si>
  <si>
    <t>DCF Assumptions</t>
  </si>
  <si>
    <t>WACC Calculation</t>
  </si>
  <si>
    <t>Discount Rate:</t>
  </si>
  <si>
    <t>Terminal Growth Rate:</t>
  </si>
  <si>
    <t>Terminal Value:</t>
  </si>
  <si>
    <t>Rf</t>
  </si>
  <si>
    <t>Present Value of FCF</t>
  </si>
  <si>
    <t>Beta</t>
  </si>
  <si>
    <t>PV of Terminal Value:</t>
  </si>
  <si>
    <t>Rm</t>
  </si>
  <si>
    <t>Sum of PV of Cash Flows:</t>
  </si>
  <si>
    <t>Ke</t>
  </si>
  <si>
    <t>Enterprise Value:</t>
  </si>
  <si>
    <t>Tax Rate</t>
  </si>
  <si>
    <t>Market Value vs Intrinsic Value</t>
  </si>
  <si>
    <t>Balance Sheet Adjustments:</t>
  </si>
  <si>
    <t>Implied Equity Value:</t>
  </si>
  <si>
    <t>Cash and Cash Equivalents</t>
  </si>
  <si>
    <t>MarketValue</t>
  </si>
  <si>
    <t>Total Debt</t>
  </si>
  <si>
    <t>Implied Price per Share:</t>
  </si>
  <si>
    <t>Ve</t>
  </si>
  <si>
    <t>Intrinsic Value</t>
  </si>
  <si>
    <t>Current Price:</t>
  </si>
  <si>
    <t>Vd</t>
  </si>
  <si>
    <t>Kd</t>
  </si>
  <si>
    <t>WACC</t>
  </si>
  <si>
    <t>MSFT</t>
  </si>
  <si>
    <t>Selling General And Administrative Expenses</t>
  </si>
  <si>
    <t>Instructions:</t>
  </si>
  <si>
    <t>AAPL</t>
  </si>
  <si>
    <t>1. Make sure you download the Wisesheets add-in and sign in with your account</t>
  </si>
  <si>
    <t>2. Green cells are to be entered in manually or if left blank will be filled with the average of previous years statements model</t>
  </si>
  <si>
    <t>4. Contact us at info@wisesheets.io if you have any questions</t>
  </si>
  <si>
    <t>TSLA</t>
  </si>
  <si>
    <t>AMZN</t>
  </si>
  <si>
    <t>3. If you find #NAME then click on find and select and replace everything before the function with nothing for example: '/Applications/Microsoft Excel.app/Contents/Frameworks/ATP.framework/Resources/en.lproj/FUNCRES.XLAM'!_xldudf_</t>
  </si>
  <si>
    <t>Research And Development To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</si>
</sst>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0.00_);\(0.00\)"/>
    <numFmt numFmtId="166" formatCode="_(* #,##0_);_(* \(#,##0\);_(* &quot;-&quot;??_);_(@_)"/>
    <numFmt numFmtId="167" formatCode="0.0%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1FB722"/>
        <bgColor indexed="64"/>
      </patternFill>
    </fill>
    <fill>
      <patternFill patternType="solid">
        <fgColor rgb="FF35406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/>
    </xf>
    <xf numFmtId="164" fontId="0" fillId="2" borderId="0" xfId="0" applyNumberFormat="1" applyFill="1"/>
    <xf numFmtId="164" fontId="0" fillId="2" borderId="1" xfId="1" applyNumberFormat="1" applyFont="1" applyFill="1" applyBorder="1"/>
    <xf numFmtId="10" fontId="0" fillId="2" borderId="0" xfId="0" applyNumberFormat="1" applyFill="1"/>
    <xf numFmtId="44" fontId="0" fillId="2" borderId="1" xfId="1" applyFont="1" applyFill="1" applyBorder="1"/>
    <xf numFmtId="164" fontId="0" fillId="2" borderId="2" xfId="1" applyNumberFormat="1" applyFont="1" applyFill="1" applyBorder="1"/>
    <xf numFmtId="164" fontId="0" fillId="2" borderId="1" xfId="0" applyNumberFormat="1" applyFill="1" applyBorder="1"/>
    <xf numFmtId="44" fontId="0" fillId="2" borderId="0" xfId="0" applyNumberFormat="1" applyFill="1"/>
    <xf numFmtId="164" fontId="0" fillId="2" borderId="2" xfId="0" applyNumberFormat="1" applyFill="1" applyBorder="1"/>
    <xf numFmtId="164" fontId="0" fillId="2" borderId="3" xfId="0" applyNumberFormat="1" applyFill="1" applyBorder="1"/>
    <xf numFmtId="10" fontId="3" fillId="2" borderId="0" xfId="2" applyNumberFormat="1" applyFont="1" applyFill="1" applyBorder="1"/>
    <xf numFmtId="44" fontId="0" fillId="2" borderId="1" xfId="0" applyNumberFormat="1" applyFill="1" applyBorder="1"/>
    <xf numFmtId="164" fontId="0" fillId="2" borderId="9" xfId="0" applyNumberFormat="1" applyFill="1" applyBorder="1"/>
    <xf numFmtId="164" fontId="0" fillId="2" borderId="11" xfId="0" applyNumberFormat="1" applyFill="1" applyBorder="1"/>
    <xf numFmtId="164" fontId="0" fillId="2" borderId="5" xfId="0" applyNumberFormat="1" applyFill="1" applyBorder="1"/>
    <xf numFmtId="10" fontId="3" fillId="2" borderId="9" xfId="2" applyNumberFormat="1" applyFont="1" applyFill="1" applyBorder="1"/>
    <xf numFmtId="10" fontId="0" fillId="2" borderId="9" xfId="2" applyNumberFormat="1" applyFont="1" applyFill="1" applyBorder="1"/>
    <xf numFmtId="164" fontId="0" fillId="2" borderId="12" xfId="0" applyNumberFormat="1" applyFill="1" applyBorder="1"/>
    <xf numFmtId="0" fontId="0" fillId="2" borderId="9" xfId="0" applyFill="1" applyBorder="1"/>
    <xf numFmtId="44" fontId="0" fillId="2" borderId="9" xfId="0" applyNumberFormat="1" applyFill="1" applyBorder="1"/>
    <xf numFmtId="164" fontId="0" fillId="2" borderId="9" xfId="1" applyNumberFormat="1" applyFont="1" applyFill="1" applyBorder="1"/>
    <xf numFmtId="164" fontId="0" fillId="2" borderId="11" xfId="1" applyNumberFormat="1" applyFont="1" applyFill="1" applyBorder="1"/>
    <xf numFmtId="164" fontId="3" fillId="2" borderId="9" xfId="0" applyNumberFormat="1" applyFont="1" applyFill="1" applyBorder="1"/>
    <xf numFmtId="44" fontId="0" fillId="2" borderId="9" xfId="1" applyFont="1" applyFill="1" applyBorder="1"/>
    <xf numFmtId="44" fontId="0" fillId="2" borderId="11" xfId="1" applyFont="1" applyFill="1" applyBorder="1"/>
    <xf numFmtId="164" fontId="0" fillId="2" borderId="12" xfId="1" applyNumberFormat="1" applyFont="1" applyFill="1" applyBorder="1"/>
    <xf numFmtId="0" fontId="9" fillId="2" borderId="0" xfId="0" applyFont="1" applyFill="1"/>
    <xf numFmtId="0" fontId="8" fillId="2" borderId="0" xfId="0" applyFont="1" applyFill="1"/>
    <xf numFmtId="0" fontId="5" fillId="2" borderId="0" xfId="0" applyFont="1" applyFill="1"/>
    <xf numFmtId="0" fontId="0" fillId="2" borderId="8" xfId="0" applyFill="1" applyBorder="1"/>
    <xf numFmtId="0" fontId="2" fillId="2" borderId="8" xfId="0" applyFont="1" applyFill="1" applyBorder="1"/>
    <xf numFmtId="164" fontId="0" fillId="2" borderId="0" xfId="1" applyNumberFormat="1" applyFont="1" applyFill="1" applyBorder="1"/>
    <xf numFmtId="0" fontId="2" fillId="2" borderId="6" xfId="0" applyFont="1" applyFill="1" applyBorder="1"/>
    <xf numFmtId="0" fontId="0" fillId="2" borderId="10" xfId="0" applyFill="1" applyBorder="1"/>
    <xf numFmtId="164" fontId="0" fillId="2" borderId="10" xfId="0" applyNumberFormat="1" applyFill="1" applyBorder="1"/>
    <xf numFmtId="164" fontId="0" fillId="2" borderId="7" xfId="0" applyNumberFormat="1" applyFill="1" applyBorder="1"/>
    <xf numFmtId="10" fontId="0" fillId="2" borderId="9" xfId="0" applyNumberFormat="1" applyFill="1" applyBorder="1"/>
    <xf numFmtId="6" fontId="0" fillId="2" borderId="9" xfId="0" applyNumberFormat="1" applyFill="1" applyBorder="1"/>
    <xf numFmtId="6" fontId="2" fillId="2" borderId="9" xfId="0" applyNumberFormat="1" applyFont="1" applyFill="1" applyBorder="1"/>
    <xf numFmtId="44" fontId="0" fillId="2" borderId="0" xfId="1" applyFont="1" applyFill="1" applyBorder="1"/>
    <xf numFmtId="0" fontId="0" fillId="2" borderId="6" xfId="0" applyFill="1" applyBorder="1"/>
    <xf numFmtId="9" fontId="0" fillId="2" borderId="7" xfId="2" applyFont="1" applyFill="1" applyBorder="1"/>
    <xf numFmtId="44" fontId="0" fillId="2" borderId="7" xfId="0" applyNumberFormat="1" applyFill="1" applyBorder="1"/>
    <xf numFmtId="10" fontId="0" fillId="2" borderId="0" xfId="2" applyNumberFormat="1" applyFont="1" applyFill="1" applyBorder="1"/>
    <xf numFmtId="44" fontId="3" fillId="2" borderId="0" xfId="1" applyFont="1" applyFill="1" applyBorder="1"/>
    <xf numFmtId="164" fontId="3" fillId="2" borderId="0" xfId="0" applyNumberFormat="1" applyFont="1" applyFill="1"/>
    <xf numFmtId="0" fontId="3" fillId="2" borderId="0" xfId="0" applyFont="1" applyFill="1"/>
    <xf numFmtId="0" fontId="3" fillId="2" borderId="9" xfId="0" applyFont="1" applyFill="1" applyBorder="1"/>
    <xf numFmtId="39" fontId="0" fillId="2" borderId="8" xfId="0" applyNumberFormat="1" applyFill="1" applyBorder="1"/>
    <xf numFmtId="39" fontId="2" fillId="2" borderId="8" xfId="0" applyNumberFormat="1" applyFont="1" applyFill="1" applyBorder="1"/>
    <xf numFmtId="165" fontId="0" fillId="2" borderId="8" xfId="0" applyNumberFormat="1" applyFill="1" applyBorder="1"/>
    <xf numFmtId="0" fontId="4" fillId="2" borderId="8" xfId="0" applyFont="1" applyFill="1" applyBorder="1"/>
    <xf numFmtId="0" fontId="4" fillId="2" borderId="8" xfId="0" applyFont="1" applyFill="1" applyBorder="1" applyAlignment="1">
      <alignment horizontal="left" vertical="center"/>
    </xf>
    <xf numFmtId="39" fontId="4" fillId="2" borderId="8" xfId="0" applyNumberFormat="1" applyFont="1" applyFill="1" applyBorder="1"/>
    <xf numFmtId="44" fontId="0" fillId="2" borderId="11" xfId="0" applyNumberFormat="1" applyFill="1" applyBorder="1"/>
    <xf numFmtId="39" fontId="2" fillId="2" borderId="6" xfId="0" applyNumberFormat="1" applyFont="1" applyFill="1" applyBorder="1"/>
    <xf numFmtId="44" fontId="1" fillId="3" borderId="9" xfId="1" applyFont="1" applyFill="1" applyBorder="1"/>
    <xf numFmtId="166" fontId="1" fillId="3" borderId="9" xfId="3" applyNumberFormat="1" applyFont="1" applyFill="1" applyBorder="1"/>
    <xf numFmtId="0" fontId="0" fillId="2" borderId="13" xfId="0" applyFill="1" applyBorder="1"/>
    <xf numFmtId="10" fontId="0" fillId="2" borderId="11" xfId="0" applyNumberFormat="1" applyFill="1" applyBorder="1"/>
    <xf numFmtId="9" fontId="0" fillId="2" borderId="9" xfId="0" applyNumberFormat="1" applyFill="1" applyBorder="1"/>
    <xf numFmtId="0" fontId="0" fillId="0" borderId="8" xfId="0" applyBorder="1"/>
    <xf numFmtId="44" fontId="0" fillId="0" borderId="9" xfId="0" applyNumberFormat="1" applyBorder="1"/>
    <xf numFmtId="10" fontId="0" fillId="2" borderId="7" xfId="2" applyNumberFormat="1" applyFont="1" applyFill="1" applyBorder="1"/>
    <xf numFmtId="2" fontId="0" fillId="2" borderId="0" xfId="0" applyNumberFormat="1" applyFill="1"/>
    <xf numFmtId="2" fontId="0" fillId="2" borderId="9" xfId="0" applyNumberFormat="1" applyFill="1" applyBorder="1"/>
    <xf numFmtId="10" fontId="0" fillId="2" borderId="10" xfId="2" applyNumberFormat="1" applyFont="1" applyFill="1" applyBorder="1"/>
    <xf numFmtId="0" fontId="0" fillId="2" borderId="8" xfId="0" applyFill="1" applyBorder="1" applyAlignment="1">
      <alignment horizontal="left"/>
    </xf>
    <xf numFmtId="0" fontId="2" fillId="0" borderId="0" xfId="0" applyFont="1"/>
    <xf numFmtId="9" fontId="0" fillId="2" borderId="0" xfId="2" applyFont="1" applyFill="1" applyBorder="1"/>
    <xf numFmtId="9" fontId="0" fillId="2" borderId="9" xfId="2" applyFont="1" applyFill="1" applyBorder="1"/>
    <xf numFmtId="0" fontId="0" fillId="2" borderId="8" xfId="0" applyFill="1" applyBorder="1" applyAlignment="1">
      <alignment horizontal="left" indent="1"/>
    </xf>
    <xf numFmtId="10" fontId="0" fillId="2" borderId="8" xfId="0" applyNumberFormat="1" applyFill="1" applyBorder="1" applyAlignment="1">
      <alignment horizontal="left" indent="1"/>
    </xf>
    <xf numFmtId="0" fontId="3" fillId="2" borderId="8" xfId="0" applyFont="1" applyFill="1" applyBorder="1" applyAlignment="1">
      <alignment horizontal="left" indent="1"/>
    </xf>
    <xf numFmtId="167" fontId="0" fillId="2" borderId="0" xfId="2" applyNumberFormat="1" applyFont="1" applyFill="1" applyBorder="1"/>
    <xf numFmtId="9" fontId="3" fillId="2" borderId="0" xfId="2" applyFont="1" applyFill="1" applyBorder="1"/>
    <xf numFmtId="9" fontId="3" fillId="2" borderId="9" xfId="2" applyFont="1" applyFill="1" applyBorder="1"/>
    <xf numFmtId="167" fontId="0" fillId="2" borderId="9" xfId="2" applyNumberFormat="1" applyFont="1" applyFill="1" applyBorder="1"/>
    <xf numFmtId="0" fontId="0" fillId="4" borderId="3" xfId="0" applyFill="1" applyBorder="1"/>
    <xf numFmtId="0" fontId="0" fillId="4" borderId="5" xfId="0" applyFill="1" applyBorder="1"/>
    <xf numFmtId="0" fontId="0" fillId="4" borderId="14" xfId="0" applyFill="1" applyBorder="1"/>
    <xf numFmtId="0" fontId="0" fillId="4" borderId="14" xfId="0" applyFill="1" applyBorder="1" applyAlignment="1">
      <alignment horizontal="right"/>
    </xf>
    <xf numFmtId="0" fontId="5" fillId="5" borderId="14" xfId="0" applyFont="1" applyFill="1" applyBorder="1"/>
    <xf numFmtId="0" fontId="6" fillId="5" borderId="4" xfId="0" applyFont="1" applyFill="1" applyBorder="1"/>
    <xf numFmtId="0" fontId="5" fillId="5" borderId="8" xfId="0" applyFont="1" applyFill="1" applyBorder="1"/>
    <xf numFmtId="0" fontId="5" fillId="5" borderId="6" xfId="0" applyFont="1" applyFill="1" applyBorder="1"/>
    <xf numFmtId="0" fontId="0" fillId="4" borderId="5" xfId="0" applyFill="1" applyBorder="1" applyAlignment="1">
      <alignment horizontal="right"/>
    </xf>
    <xf numFmtId="0" fontId="0" fillId="4" borderId="9" xfId="0" applyFill="1" applyBorder="1" applyAlignment="1">
      <alignment horizontal="right"/>
    </xf>
    <xf numFmtId="9" fontId="0" fillId="4" borderId="7" xfId="2" applyFont="1" applyFill="1" applyBorder="1" applyAlignment="1">
      <alignment horizontal="right"/>
    </xf>
    <xf numFmtId="0" fontId="5" fillId="5" borderId="4" xfId="0" applyFont="1" applyFill="1" applyBorder="1"/>
    <xf numFmtId="0" fontId="5" fillId="5" borderId="0" xfId="0" applyFont="1" applyFill="1"/>
    <xf numFmtId="0" fontId="5" fillId="5" borderId="9" xfId="0" applyFont="1" applyFill="1" applyBorder="1"/>
    <xf numFmtId="0" fontId="8" fillId="5" borderId="4" xfId="0" applyFont="1" applyFill="1" applyBorder="1"/>
    <xf numFmtId="0" fontId="5" fillId="5" borderId="3" xfId="0" applyFont="1" applyFill="1" applyBorder="1"/>
    <xf numFmtId="0" fontId="8" fillId="5" borderId="0" xfId="0" applyFont="1" applyFill="1"/>
    <xf numFmtId="0" fontId="8" fillId="5" borderId="9" xfId="0" applyFont="1" applyFill="1" applyBorder="1"/>
    <xf numFmtId="0" fontId="5" fillId="5" borderId="5" xfId="0" applyFont="1" applyFill="1" applyBorder="1"/>
    <xf numFmtId="0" fontId="8" fillId="5" borderId="3" xfId="0" applyFont="1" applyFill="1" applyBorder="1"/>
    <xf numFmtId="0" fontId="8" fillId="5" borderId="5" xfId="0" applyFont="1" applyFill="1" applyBorder="1"/>
    <xf numFmtId="0" fontId="8" fillId="5" borderId="8" xfId="0" applyFont="1" applyFill="1" applyBorder="1"/>
    <xf numFmtId="10" fontId="0" fillId="4" borderId="9" xfId="2" applyNumberFormat="1" applyFont="1" applyFill="1" applyBorder="1"/>
    <xf numFmtId="10" fontId="0" fillId="4" borderId="9" xfId="0" applyNumberFormat="1" applyFill="1" applyBorder="1"/>
    <xf numFmtId="9" fontId="0" fillId="4" borderId="9" xfId="0" applyNumberFormat="1" applyFill="1" applyBorder="1"/>
    <xf numFmtId="0" fontId="2" fillId="2" borderId="0" xfId="0" applyFont="1" applyFill="1"/>
    <xf numFmtId="10" fontId="0" fillId="4" borderId="0" xfId="2" applyNumberFormat="1" applyFont="1" applyFill="1" applyBorder="1"/>
    <xf numFmtId="10" fontId="3" fillId="4" borderId="0" xfId="2" applyNumberFormat="1" applyFont="1" applyFill="1" applyBorder="1"/>
    <xf numFmtId="10" fontId="3" fillId="4" borderId="9" xfId="2" applyNumberFormat="1" applyFont="1" applyFill="1" applyBorder="1"/>
    <xf numFmtId="10" fontId="8" fillId="5" borderId="9" xfId="0" applyNumberFormat="1" applyFont="1" applyFill="1" applyBorder="1"/>
    <xf numFmtId="43" fontId="0" fillId="0" borderId="9" xfId="3" applyFont="1" applyFill="1" applyBorder="1"/>
    <xf numFmtId="0" fontId="5" fillId="5" borderId="3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9" fillId="2" borderId="0" xfId="0" applyFont="1" applyFill="1" applyAlignment="1">
      <alignment horizontal="left"/>
    </xf>
    <xf numFmtId="0" fontId="8" fillId="5" borderId="3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</cellXfs>
  <cellStyles count="4">
    <cellStyle name="Comma" xfId="3" builtinId="3"/>
    <cellStyle name="Currency" xfId="1" builtinId="4"/>
    <cellStyle name="Normal" xfId="0" builtinId="0"/>
    <cellStyle name="Percent" xfId="2" builtinId="5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354065"/>
      <color rgb="FF1FB722"/>
      <color rgb="FF0095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microsoft.com/office/2017/06/relationships/rdSupportingPropertyBag" Target="richData/rdsupportingpropertybag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SupportingPropertyBagStructure" Target="richData/rdsupportingpropertybagstructure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ichStyles" Target="richData/richStyles.xml"/><Relationship Id="rId5" Type="http://schemas.openxmlformats.org/officeDocument/2006/relationships/theme" Target="theme/theme1.xml"/><Relationship Id="rId15" Type="http://schemas.microsoft.com/office/2017/10/relationships/person" Target="persons/person.xml"/><Relationship Id="rId10" Type="http://schemas.microsoft.com/office/2017/06/relationships/rdRichValueStructure" Target="richData/rdrichvaluestructure.xml"/><Relationship Id="rId4" Type="http://schemas.openxmlformats.org/officeDocument/2006/relationships/externalLink" Target="externalLinks/externalLink1.xml"/><Relationship Id="rId9" Type="http://schemas.microsoft.com/office/2017/06/relationships/rdRichValue" Target="richData/rdrichvalue.xml"/><Relationship Id="rId14" Type="http://schemas.microsoft.com/office/2017/06/relationships/rdRichValueTypes" Target="richData/rdRichValueType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title pos="t" align="ctr" overlay="0">
      <cx:tx>
        <cx:txData>
          <cx:v>Market Value vs Intrinsic Value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Market Value vs Intrinsic Value</a:t>
          </a:r>
        </a:p>
      </cx:txPr>
    </cx:title>
    <cx:plotArea>
      <cx:plotAreaRegion>
        <cx:series layoutId="waterfall" uniqueId="{67F76250-D82F-2E4E-BA88-2712553CC642}">
          <cx:dataPt idx="0">
            <cx:spPr>
              <a:solidFill>
                <a:srgbClr val="4472C4">
                  <a:lumMod val="50000"/>
                </a:srgbClr>
              </a:solidFill>
            </cx:spPr>
          </cx:dataPt>
          <cx:dataPt idx="1">
            <cx:spPr>
              <a:solidFill>
                <a:srgbClr val="0095CE"/>
              </a:solidFill>
            </cx:spPr>
          </cx:dataPt>
          <cx:dataPt idx="2">
            <cx:spPr>
              <a:solidFill>
                <a:srgbClr val="FFC000"/>
              </a:solidFill>
            </cx:spPr>
          </cx:dataPt>
          <cx:dataId val="0"/>
          <cx:layoutPr>
            <cx:subtotals>
              <cx:idx val="2"/>
            </cx:subtotals>
          </cx:layoutPr>
        </cx:series>
      </cx:plotAreaRegion>
      <cx:axis id="0">
        <cx:catScaling gapWidth="0.5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1016000</xdr:colOff>
      <xdr:row>13</xdr:row>
      <xdr:rowOff>88900</xdr:rowOff>
    </xdr:from>
    <xdr:to>
      <xdr:col>8</xdr:col>
      <xdr:colOff>1143000</xdr:colOff>
      <xdr:row>30</xdr:row>
      <xdr:rowOff>88900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DB057BED-8193-0841-886D-0B19C9B6C36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140200" y="2717800"/>
              <a:ext cx="5791200" cy="33464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plications/Microsoft%20Excel.app/Contents/Frameworks/ATP.framework/Resources/en.lproj/FUNCRE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UNCRES"/>
    </sheetNames>
    <definedNames>
      <definedName name="_xldudf_WISE"/>
      <definedName name="_xldudf_WISEPRICE"/>
    </defined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Microsoft Office User" id="{D27C3A51-4AB5-8542-8AB0-7BCFE5876B8F}" userId="Microsoft Office User" providerId="None"/>
</personList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linkedentity">
      <keyFlags>
        <key name="%cvi">
          <flag name="ShowInCardView" value="0"/>
          <flag name="ShowInDotNotation" value="0"/>
          <flag name="ShowInAutoComplete" value="0"/>
          <flag name="ExcludeFromCalcComparison" value="1"/>
        </key>
      </keyFlags>
    </type>
    <type name="_linkedentitycore">
      <keyFlags>
        <key name="%EntityServiceId">
          <flag name="ShowInCardView" value="0"/>
          <flag name="ShowInDotNotation" value="0"/>
          <flag name="ShowInAutoComplete" value="0"/>
        </key>
        <key name="%EntitySubDomainId">
          <flag name="ShowInCardView" value="0"/>
          <flag name="ShowInDotNotation" value="0"/>
          <flag name="ShowInAutoComplete" value="0"/>
        </key>
        <key name="%EntityCulture">
          <flag name="ShowInCardView" value="0"/>
          <flag name="ShowInDotNotation" value="0"/>
          <flag name="ShowInAutoComplete" value="0"/>
        </key>
        <key name="%EntityId">
          <flag name="ShowInCardView" value="0"/>
          <flag name="ShowInDotNotation" value="0"/>
          <flag name="ShowInAutoComplete" value="0"/>
        </key>
        <key name="%IsRefreshable">
          <flag name="ShowInCardView" value="0"/>
          <flag name="ShowInAutoComplete" value="0"/>
          <flag name="ExcludeFromCalcComparison" value="1"/>
        </key>
        <key name="%ProviderInfo">
          <flag name="ShowInCardView" value="0"/>
          <flag name="ShowInDotNotation" value="0"/>
          <flag name="ShowInAutoComplete" value="0"/>
        </key>
        <key name="%DataProviderExternalLinkLogo">
          <flag name="ShowInCardView" value="0"/>
          <flag name="ShowInDotNotation" value="0"/>
          <flag name="ShowInAutoComplete" value="0"/>
        </key>
        <key name="%DataProviderExternalLink">
          <flag name="ShowInCardView" value="0"/>
          <flag name="ShowInDotNotation" value="0"/>
          <flag name="ShowInAutoComplete" value="0"/>
        </key>
        <key name="%OutdatedReason">
          <flag name="ShowInCardView" value="0"/>
          <flag name="ShowInDotNotation" value="0"/>
          <flag name="ShowInAutoComplete" value="0"/>
          <flag name="ExcludeFromCalcComparison" value="1"/>
        </key>
      </keyFlags>
    </type>
  </types>
</rvTypesInfo>
</file>

<file path=xl/richData/rdrichvalue.xml><?xml version="1.0" encoding="utf-8"?>
<rvData xmlns="http://schemas.microsoft.com/office/spreadsheetml/2017/richdata" count="6">
  <rv s="0">
    <v>https://www.bing.com/financeapi/forcetrigger?t=r6dwra&amp;q=US10Y&amp;form=skydnc</v>
    <v>Learn more on Bing</v>
  </rv>
  <rv s="1">
    <v>en-US</v>
    <v>r6dwra</v>
    <v>268435456</v>
    <v>1</v>
    <v>Powered by Refinitiv</v>
    <v>0</v>
    <v>US Treasury 10Y</v>
    <v>2</v>
    <v>3</v>
    <v>Finance</v>
    <v>4</v>
    <v>1.7899999999999999E-2</v>
    <v>4.0000000000000001E-3</v>
    <v>US</v>
    <v>USD</v>
    <v>Bond</v>
    <v>45797.604027777779</v>
    <v>0</v>
    <v>49444</v>
    <v>US Treasury 10Y</v>
    <v>4.4749999999999996</v>
    <v>4.4928999999999997</v>
    <v>US10Y</v>
    <v>US Treasury 10Y</v>
    <v>4.3326999999999997E-2</v>
    <v>4.4989999999999995E-2</v>
    <v>4.4433E-2</v>
    <v>4.4389999999999999E-2</v>
  </rv>
  <rv s="2">
    <v>1</v>
  </rv>
  <rv s="0">
    <v>https://www.bing.com/financeapi/forcetrigger?t=r6dwr8&amp;q=US5Y&amp;form=skydnc</v>
    <v>Learn more on Bing</v>
  </rv>
  <rv s="1">
    <v>en-US</v>
    <v>r6dwr8</v>
    <v>268435456</v>
    <v>1</v>
    <v>Powered by Refinitiv</v>
    <v>0</v>
    <v>US Treasury 5Y</v>
    <v>2</v>
    <v>3</v>
    <v>Finance</v>
    <v>4</v>
    <v>-2.2000000000000001E-3</v>
    <v>-5.3910000000000004E-4</v>
    <v>US</v>
    <v>USD</v>
    <v>Bond</v>
    <v>45797.604016203702</v>
    <v>3</v>
    <v>47603</v>
    <v>US Treasury 5Y</v>
    <v>4.0810000000000004</v>
    <v>4.0788000000000002</v>
    <v>US5Y</v>
    <v>US Treasury 5Y</v>
    <v>3.9416E-2</v>
    <v>4.1210000000000004E-2</v>
    <v>4.4642999999999995E-2</v>
    <v>4.0629999999999999E-2</v>
  </rv>
  <rv s="2">
    <v>4</v>
  </rv>
</rvData>
</file>

<file path=xl/richData/rdrichvaluestructure.xml><?xml version="1.0" encoding="utf-8"?>
<rvStructures xmlns="http://schemas.microsoft.com/office/spreadsheetml/2017/richdata" count="3">
  <s t="_hyperlink">
    <k n="Address" t="s"/>
    <k n="Text" t="s"/>
  </s>
  <s t="_linkedentitycore">
    <k n="%EntityCulture" t="s"/>
    <k n="%EntityId" t="s"/>
    <k n="%EntityServiceId"/>
    <k n="%IsRefreshable" t="b"/>
    <k n="%ProviderInfo" t="s"/>
    <k n="_Display" t="spb"/>
    <k n="_DisplayString" t="s"/>
    <k n="_Flags" t="spb"/>
    <k n="_Format" t="spb"/>
    <k n="_Icon" t="s"/>
    <k n="_SubLabel" t="spb"/>
    <k n="Change"/>
    <k n="Change (%)"/>
    <k n="Country/region" t="s"/>
    <k n="Currency" t="s"/>
    <k n="Instrument type" t="s"/>
    <k n="Last trade time"/>
    <k n="LearnMoreOnLink" t="r"/>
    <k n="Maturity"/>
    <k n="Name" t="s"/>
    <k n="Previous close"/>
    <k n="Price"/>
    <k n="Ticker symbol" t="s"/>
    <k n="UniqueName" t="s"/>
    <k n="Yield last month"/>
    <k n="Yield last week"/>
    <k n="Yield last year"/>
    <k n="Yield yesterday"/>
  </s>
  <s t="_linkedentity">
    <k n="%cvi" t="r"/>
  </s>
</rvStructures>
</file>

<file path=xl/richData/rdsupportingpropertybag.xml><?xml version="1.0" encoding="utf-8"?>
<supportingPropertyBags xmlns="http://schemas.microsoft.com/office/spreadsheetml/2017/richdata2">
  <spbArrays count="1">
    <a count="28">
      <v t="s">%EntityServiceId</v>
      <v t="s">_Format</v>
      <v t="s">%IsRefreshable</v>
      <v t="s">%EntityCulture</v>
      <v t="s">%EntityId</v>
      <v t="s">_Icon</v>
      <v t="s">_Display</v>
      <v t="s">Name</v>
      <v t="s">Price</v>
      <v t="s">_SubLabel</v>
      <v t="s">Last trade time</v>
      <v t="s">Ticker symbol</v>
      <v t="s">Change</v>
      <v t="s">Change (%)</v>
      <v t="s">Currency</v>
      <v t="s">Previous close</v>
      <v t="s">Yield yesterday</v>
      <v t="s">Yield last week</v>
      <v t="s">Yield last month</v>
      <v t="s">Yield last year</v>
      <v t="s">Maturity</v>
      <v t="s">Country/region</v>
      <v t="s">Instrument type</v>
      <v t="s">_Flags</v>
      <v t="s">UniqueName</v>
      <v t="s">_DisplayString</v>
      <v t="s">LearnMoreOnLink</v>
      <v t="s">%ProviderInfo</v>
    </a>
  </spbArrays>
  <spbData count="5">
    <spb s="0">
      <v>0</v>
      <v>Name</v>
      <v>LearnMoreOnLink</v>
    </spb>
    <spb s="1">
      <v>0</v>
      <v>0</v>
      <v>0</v>
    </spb>
    <spb s="2">
      <v>1</v>
      <v>1</v>
      <v>1</v>
    </spb>
    <spb s="3">
      <v>1</v>
      <v>2</v>
      <v>2</v>
      <v>3</v>
      <v>4</v>
      <v>2</v>
      <v>5</v>
      <v>4</v>
      <v>4</v>
      <v>4</v>
      <v>4</v>
      <v>6</v>
    </spb>
    <spb s="4">
      <v>GMT</v>
    </spb>
  </spbData>
</supportingPropertyBags>
</file>

<file path=xl/richData/rdsupportingpropertybagstructure.xml><?xml version="1.0" encoding="utf-8"?>
<spbStructures xmlns="http://schemas.microsoft.com/office/spreadsheetml/2017/richdata2" count="5">
  <s>
    <k n="^Order" t="spba"/>
    <k n="TitleProperty" t="s"/>
    <k n="SubTitleProperty" t="s"/>
  </s>
  <s>
    <k n="ShowInCardView" t="b"/>
    <k n="ShowInDotNotation" t="b"/>
    <k n="ShowInAutoComplete" t="b"/>
  </s>
  <s>
    <k n="UniqueName" t="spb"/>
    <k n="`%ProviderInfo" t="spb"/>
    <k n="LearnMoreOnLink" t="spb"/>
  </s>
  <s>
    <k n="Name" t="i"/>
    <k n="Price" t="i"/>
    <k n="Change" t="i"/>
    <k n="Maturity" t="i"/>
    <k n="Change (%)" t="i"/>
    <k n="Previous close" t="i"/>
    <k n="Last trade time" t="i"/>
    <k n="Yield last week" t="i"/>
    <k n="Yield last year" t="i"/>
    <k n="Yield yesterday" t="i"/>
    <k n="Yield last month" t="i"/>
    <k n="`%EntityServiceId" t="i"/>
  </s>
  <s>
    <k n="Last trade time" t="s"/>
  </s>
</spbStructures>
</file>

<file path=xl/richData/richStyles.xml><?xml version="1.0" encoding="utf-8"?>
<richStyleSheet xmlns="http://schemas.microsoft.com/office/spreadsheetml/2017/richdata2" xmlns:mc="http://schemas.openxmlformats.org/markup-compatibility/2006" xmlns:x="http://schemas.openxmlformats.org/spreadsheetml/2006/main" mc:Ignorable="x">
  <dxfs count="5">
    <x:dxf>
      <x:numFmt numFmtId="19" formatCode="m/d/yyyy"/>
    </x:dxf>
    <x:dxf>
      <x:numFmt numFmtId="14" formatCode="0.00%"/>
    </x:dxf>
    <x:dxf>
      <x:numFmt numFmtId="27" formatCode="m/d/yyyy\ h:mm"/>
    </x:dxf>
    <x:dxf>
      <x:numFmt numFmtId="2" formatCode="0.00"/>
    </x:dxf>
    <x:dxf>
      <x:numFmt numFmtId="0" formatCode="General"/>
    </x:dxf>
  </dxfs>
  <richProperties>
    <rPr n="IsTitleField" t="b"/>
    <rPr n="NumberFormat" t="s"/>
  </richProperties>
  <richStyles>
    <rSty>
      <rpv i="0">1</rpv>
    </rSty>
    <rSty dxfid="4">
      <rpv i="1">_([$$-en-US]* #,##0.00_);_([$$-en-US]* (#,##0.00);_([$$-en-US]* "-"??_);_(@_)</rpv>
    </rSty>
    <rSty dxfid="0"/>
    <rSty dxfid="1"/>
    <rSty dxfid="2"/>
    <rSty dxfid="3">
      <rpv i="1">0.00</rpv>
    </rSty>
  </richStyles>
</richStyleShee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5" dT="2023-08-31T16:40:02.68" personId="{D27C3A51-4AB5-8542-8AB0-7BCFE5876B8F}" id="{91D372AD-491A-0646-A282-8D70B3A7578B}">
    <text>Make sure to use the Yahoo Finance Ticker system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2" dT="2023-08-31T16:37:50.72" personId="{D27C3A51-4AB5-8542-8AB0-7BCFE5876B8F}" id="{909551D0-E63A-9C46-A26D-6C908861E61D}">
    <text>Make sure to use the Yahoo Finance Ticker system</text>
  </threadedComment>
  <threadedComment ref="B7" dT="2023-08-31T16:39:21.72" personId="{D27C3A51-4AB5-8542-8AB0-7BCFE5876B8F}" id="{D79FC4B2-BC21-AD4A-AE18-1BA0A46FEBA3}">
    <text>What you expect the tax rate to be. You can use historical data and current tax rates to help in your projection.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K7" dT="2023-08-31T16:48:07.90" personId="{D27C3A51-4AB5-8542-8AB0-7BCFE5876B8F}" id="{D5007730-A2DC-E949-B251-E451C3D37985}">
    <text>Reflects the rate of return required by an investor. Typically comprises the risk-free rate, stock beta, and market risk premium.
Risk-free rate: Check current yields on 10-year government bonds.
Stock beta: Yahoo Finance or Wisesheets.
Market risk premium: Historical averages 5%-7%; may vary.</text>
  </threadedComment>
  <threadedComment ref="O7" dT="2023-08-31T16:49:38.68" personId="{D27C3A51-4AB5-8542-8AB0-7BCFE5876B8F}" id="{1D7A17A8-EDEF-4C40-8D04-CF49C7DA7D36}">
    <text>Yield on 10-year U.S. government bonds. Commonly used as the risk-free rate in financial analysis.</text>
  </threadedComment>
  <threadedComment ref="K9" dT="2023-08-31T17:03:01.29" personId="{D27C3A51-4AB5-8542-8AB0-7BCFE5876B8F}" id="{3531CD59-D7AA-B043-AA81-553A22C7C10A}">
    <text>The perpetual growth rate applied to future cash flows beyond a projection period when valuing a company using the Discounted Cash Flow (DCF) method. Typically a small, stable rate to represent mature growth.
Often assumed between 2%-3%, reflecting long-term inflation and GDP growth, but can vary based on industry and economy.</text>
  </threadedComment>
  <threadedComment ref="K10" dT="2023-08-31T19:46:37.27" personId="{D27C3A51-4AB5-8542-8AB0-7BCFE5876B8F}" id="{BE6AD8E1-337E-B946-84B2-AF9BFA86EC35}">
    <text>Terminal value estimates a company's value beyond forecast period in stock analysis.
Calculation Methods:
Perpetuity Growth Model: Final Cash Flow * (1 + Growth Rate) / (Discount Rate - Growth Rate)
Exit Multiple Method: Terminal Metric * Chosen Multiple</text>
  </threadedComment>
  <threadedComment ref="O10" dT="2023-08-31T16:50:16.06" personId="{D27C3A51-4AB5-8542-8AB0-7BCFE5876B8F}" id="{A1B19925-8874-774F-A066-ACD4F1364327}">
    <text>Represents the theoretical return on an investment with zero risk. Often derived from the yield on 10-year U.S. government bonds.</text>
  </threadedComment>
  <threadedComment ref="O11" dT="2023-08-31T16:50:48.30" personId="{D27C3A51-4AB5-8542-8AB0-7BCFE5876B8F}" id="{340551D5-AFCC-8941-A9A6-1B7325500CA6}">
    <text>Measures a stock's volatility in relation to the overall market. 
A beta &gt;1 indicates higher volatility than the market, while &lt;1 suggests lower volatility.</text>
  </threadedComment>
  <threadedComment ref="O12" dT="2023-08-31T16:52:31.83" personId="{D27C3A51-4AB5-8542-8AB0-7BCFE5876B8F}" id="{D680D3E4-E156-EF4A-89D4-33D1995285A5}">
    <text>Represents the expected return of the overall market or benchmark index (e.g., S&amp;P 500).
Historical averages 5%-7%; may vary.</text>
  </threadedComment>
  <threadedComment ref="O13" dT="2023-08-31T16:54:58.73" personId="{D27C3A51-4AB5-8542-8AB0-7BCFE5876B8F}" id="{65823633-F760-BB49-8C3F-8B135A765B6F}">
    <text xml:space="preserve">The return a company is expected to provide to its shareholders for their equity investment.
Usually calculated using the CAPM: https://blog.wisesheets.io/how-to-calculate-the-expected-return-of-a-stock-using-the-capm-capitalized-asset-pricing-model/
</text>
    <extLst>
      <x:ext xmlns:xltc2="http://schemas.microsoft.com/office/spreadsheetml/2020/threadedcomments2" uri="{F7C98A9C-CBB3-438F-8F68-D28B6AF4A901}">
        <xltc2:checksum>113858528</xltc2:checksum>
        <xltc2:hyperlink startIndex="129" length="122" url="https://blog.wisesheets.io/how-to-calculate-the-expected-return-of-a-stock-using-the-capm-capitalized-asset-pricing-model/"/>
      </x:ext>
    </extLst>
  </threadedComment>
  <threadedComment ref="K14" dT="2023-08-31T19:47:20.20" personId="{D27C3A51-4AB5-8542-8AB0-7BCFE5876B8F}" id="{BBE9CBBA-269E-9349-BF22-E545D4D079A9}">
    <text>Enterprise Value measures a company's total value, including both its equity and debt.</text>
  </threadedComment>
  <threadedComment ref="K17" dT="2023-08-31T19:49:50.84" personId="{D27C3A51-4AB5-8542-8AB0-7BCFE5876B8F}" id="{C8E14AFC-25AE-E04B-B0DC-BF81456FBD82}">
    <text>Implied Equity Value represents the calculated value of a company's equity based on its market price and given financial metrics.</text>
  </threadedComment>
  <threadedComment ref="O19" dT="2023-08-31T16:57:32.52" personId="{D27C3A51-4AB5-8542-8AB0-7BCFE5876B8F}" id="{EE231B01-2BED-424F-8E1D-C184A6F4F1C8}">
    <text>Represents the total market value of a company's equity, often calculated by multiplying the stock price by the number of outstanding shares.</text>
  </threadedComment>
  <threadedComment ref="O21" dT="2023-08-31T16:57:55.35" personId="{D27C3A51-4AB5-8542-8AB0-7BCFE5876B8F}" id="{9CC697E7-0463-194D-84EF-9B27CD14E4F4}">
    <text>Represents the total market value of a company's long-term debt.</text>
  </threadedComment>
  <threadedComment ref="O22" dT="2023-08-31T17:01:49.54" personId="{D27C3A51-4AB5-8542-8AB0-7BCFE5876B8F}" id="{59EF2761-8E49-5E47-9973-29DC97906600}">
    <text>The effective interest rate a company pays on its debt. It's often adjusted for tax because interest expense is tax-deductible.</text>
  </threadedComment>
  <threadedComment ref="O24" dT="2023-08-31T16:48:34.73" personId="{D27C3A51-4AB5-8542-8AB0-7BCFE5876B8F}" id="{2A52C7F4-D0C9-764C-BC7A-B56FA530A998}">
    <text>Reflects the rate of return required by an investor. Typically comprises the risk-free rate, stock beta, and market risk premium.
Risk-free rate: Check current yields on 10-year government bonds.
Stock beta: Yahoo Finance or Wisesheets.
Market risk premium: Historical averages 5%-7%; may vary.</text>
  </threadedComment>
</ThreadedComments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FF530C0D-1E1C-0C44-9282-510AA0FC6AF7}">
  <we:reference id="wa200002252" version="1.0.0.0" store="en-US" storeType="OMEX"/>
  <we:alternateReferences>
    <we:reference id="wa200002252" version="1.0.0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 val="1"/>
    </a:ext>
    <a:ext xmlns:a="http://schemas.openxmlformats.org/drawingml/2006/main" uri="{7C84B067-C214-45C3-A712-C9D94CD141B2}">
      <we:customFunctionIdList>
        <we:customFunctionIds>_xldudf_WISE</we:customFunctionIds>
        <we:customFunctionIds>_xldudf_WISEPRICE</we:customFunctionIds>
        <we:customFunctionIds>_xldudf_WISEFUNDS</we:customFunctionIds>
        <we:customFunctionIds>_xldudf_WISEOPTIONS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CCE0B-6E1A-BB49-82C0-31523C1A32BA}">
  <dimension ref="A1:AR37"/>
  <sheetViews>
    <sheetView zoomScale="150" zoomScaleNormal="150" workbookViewId="0">
      <selection activeCell="B25" sqref="B25"/>
    </sheetView>
  </sheetViews>
  <sheetFormatPr defaultColWidth="11" defaultRowHeight="15.5" x14ac:dyDescent="0.35"/>
  <cols>
    <col min="1" max="1" width="14" bestFit="1" customWidth="1"/>
    <col min="2" max="2" width="16.6640625" bestFit="1" customWidth="1"/>
    <col min="3" max="3" width="19.5" bestFit="1" customWidth="1"/>
    <col min="4" max="4" width="18.5" bestFit="1" customWidth="1"/>
    <col min="5" max="5" width="27.1640625" bestFit="1" customWidth="1"/>
    <col min="6" max="6" width="38.5" bestFit="1" customWidth="1"/>
  </cols>
  <sheetData>
    <row r="1" spans="1:44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spans="1:44" x14ac:dyDescent="0.35">
      <c r="A2" s="1"/>
      <c r="B2" s="84" t="s">
        <v>1</v>
      </c>
      <c r="C2" s="82">
        <v>2022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1:44" x14ac:dyDescent="0.35">
      <c r="A3" s="1"/>
      <c r="B3" s="84" t="s">
        <v>2</v>
      </c>
      <c r="C3" s="83" t="s">
        <v>3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</row>
    <row r="4" spans="1:44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</row>
    <row r="5" spans="1:44" x14ac:dyDescent="0.35">
      <c r="A5" s="1"/>
      <c r="B5" s="85" t="s">
        <v>4</v>
      </c>
      <c r="C5" s="80" t="s">
        <v>154</v>
      </c>
      <c r="D5" s="80" t="s">
        <v>158</v>
      </c>
      <c r="E5" s="80" t="s">
        <v>159</v>
      </c>
      <c r="F5" s="81" t="s">
        <v>151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</row>
    <row r="6" spans="1:44" x14ac:dyDescent="0.35">
      <c r="A6" s="1"/>
      <c r="B6" s="86" t="s">
        <v>5</v>
      </c>
      <c r="C6" s="66" t="e" cm="1">
        <f t="array" aca="1" ref="C6" ca="1">[1]!_xldudf_WISEPRICE(C5:F5,B6:B8)</f>
        <v>#NAME?</v>
      </c>
      <c r="D6" s="66"/>
      <c r="E6" s="66"/>
      <c r="F6" s="6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</row>
    <row r="7" spans="1:44" x14ac:dyDescent="0.35">
      <c r="A7" s="1"/>
      <c r="B7" s="86" t="s">
        <v>6</v>
      </c>
      <c r="C7" s="41"/>
      <c r="D7" s="41"/>
      <c r="E7" s="41"/>
      <c r="F7" s="2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</row>
    <row r="8" spans="1:44" x14ac:dyDescent="0.35">
      <c r="A8" s="1"/>
      <c r="B8" s="86" t="s">
        <v>7</v>
      </c>
      <c r="C8" s="41"/>
      <c r="D8" s="41"/>
      <c r="E8" s="41"/>
      <c r="F8" s="25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</row>
    <row r="9" spans="1:44" x14ac:dyDescent="0.35">
      <c r="A9" s="105" t="s">
        <v>8</v>
      </c>
      <c r="B9" s="86" t="s">
        <v>9</v>
      </c>
      <c r="C9" s="41" t="e" cm="1">
        <f t="array" aca="1" ref="C9" ca="1">[1]!_xldudf_WISEPRICE(C$5:F$5,$B9)/1000000</f>
        <v>#NAME?</v>
      </c>
      <c r="D9" s="41"/>
      <c r="E9" s="41"/>
      <c r="F9" s="25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</row>
    <row r="10" spans="1:44" x14ac:dyDescent="0.35">
      <c r="A10" s="1"/>
      <c r="B10" s="86" t="s">
        <v>10</v>
      </c>
      <c r="C10" s="41" t="e" cm="1">
        <f t="array" aca="1" ref="C10" ca="1">[1]!_xldudf_WISE(C5, $B$10:$B$13, $C$2, $C$3)</f>
        <v>#NAME?</v>
      </c>
      <c r="D10" s="41" t="e" cm="1">
        <f t="array" aca="1" ref="D10" ca="1">[1]!_xldudf_WISE(D5, $B$10:$B$13, $C$2, $C$3)</f>
        <v>#NAME?</v>
      </c>
      <c r="E10" s="41" t="e" cm="1">
        <f t="array" aca="1" ref="E10" ca="1">[1]!_xldudf_WISE(E5, $B$10:$B$13, $C$2, $C$3)</f>
        <v>#NAME?</v>
      </c>
      <c r="F10" s="25" t="e" cm="1">
        <f t="array" aca="1" ref="F10" ca="1">[1]!_xldudf_WISE(F5, $B$10:$B$13, $C$2, $C$3)</f>
        <v>#NAME?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</row>
    <row r="11" spans="1:44" x14ac:dyDescent="0.35">
      <c r="A11" s="1"/>
      <c r="B11" s="86" t="s">
        <v>11</v>
      </c>
      <c r="C11" s="45"/>
      <c r="D11" s="45"/>
      <c r="E11" s="45"/>
      <c r="F11" s="18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</row>
    <row r="12" spans="1:44" x14ac:dyDescent="0.35">
      <c r="A12" s="1"/>
      <c r="B12" s="86" t="s">
        <v>12</v>
      </c>
      <c r="C12" s="41"/>
      <c r="D12" s="41"/>
      <c r="E12" s="41"/>
      <c r="F12" s="25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</row>
    <row r="13" spans="1:44" x14ac:dyDescent="0.35">
      <c r="A13" s="1"/>
      <c r="B13" s="87" t="s">
        <v>13</v>
      </c>
      <c r="C13" s="68"/>
      <c r="D13" s="68"/>
      <c r="E13" s="68"/>
      <c r="F13" s="65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 x14ac:dyDescent="0.35">
      <c r="A15" s="1"/>
      <c r="B15" s="105" t="s">
        <v>153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 x14ac:dyDescent="0.35">
      <c r="A16" s="1"/>
      <c r="B16" s="1" t="s">
        <v>155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 x14ac:dyDescent="0.35">
      <c r="A17" s="1"/>
      <c r="B17" s="1" t="s">
        <v>156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 x14ac:dyDescent="0.35">
      <c r="A18" s="1"/>
      <c r="B18" s="1" t="s">
        <v>160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 x14ac:dyDescent="0.35">
      <c r="A19" s="1"/>
      <c r="B19" s="1" t="s">
        <v>157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6" spans="1:44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</row>
    <row r="27" spans="1:44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</row>
    <row r="28" spans="1:44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</row>
    <row r="29" spans="1:44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</row>
    <row r="30" spans="1:44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</row>
    <row r="31" spans="1:44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</row>
    <row r="32" spans="1:44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</row>
    <row r="33" spans="1:44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</row>
    <row r="34" spans="1:44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</row>
    <row r="35" spans="1:44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</row>
    <row r="36" spans="1:44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</row>
    <row r="37" spans="1:44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</row>
  </sheetData>
  <pageMargins left="0.7" right="0.7" top="0.75" bottom="0.75" header="0.3" footer="0.3"/>
  <pageSetup orientation="portrait" horizontalDpi="0" verticalDpi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BF191-46AB-854B-A026-9D7AFC97DD07}">
  <dimension ref="A1:Z172"/>
  <sheetViews>
    <sheetView tabSelected="1" topLeftCell="E13" zoomScale="50" zoomScaleNormal="50" workbookViewId="0">
      <selection activeCell="R26" sqref="R26"/>
    </sheetView>
  </sheetViews>
  <sheetFormatPr defaultColWidth="11" defaultRowHeight="15.5" x14ac:dyDescent="0.35"/>
  <cols>
    <col min="1" max="1" width="5" customWidth="1"/>
    <col min="2" max="2" width="41.33203125" bestFit="1" customWidth="1"/>
    <col min="3" max="5" width="22.5" bestFit="1" customWidth="1"/>
    <col min="6" max="6" width="21.1640625" bestFit="1" customWidth="1"/>
    <col min="7" max="7" width="21.33203125" bestFit="1" customWidth="1"/>
    <col min="8" max="10" width="21.1640625" bestFit="1" customWidth="1"/>
    <col min="12" max="12" width="15.6640625" bestFit="1" customWidth="1"/>
    <col min="14" max="14" width="17.1640625" bestFit="1" customWidth="1"/>
  </cols>
  <sheetData>
    <row r="1" spans="1:26" x14ac:dyDescent="0.35">
      <c r="A1" s="30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35">
      <c r="A2" s="30"/>
      <c r="B2" s="91" t="s">
        <v>14</v>
      </c>
      <c r="C2" s="88" t="s">
        <v>154</v>
      </c>
      <c r="D2" s="1"/>
      <c r="E2" s="105" t="s">
        <v>153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35">
      <c r="A3" s="30"/>
      <c r="B3" s="86" t="s">
        <v>15</v>
      </c>
      <c r="C3" s="89" t="s">
        <v>16</v>
      </c>
      <c r="D3" s="1"/>
      <c r="E3" s="1" t="s">
        <v>155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35">
      <c r="A4" s="30"/>
      <c r="B4" s="86" t="s">
        <v>17</v>
      </c>
      <c r="C4" s="89">
        <v>2025</v>
      </c>
      <c r="D4" s="1"/>
      <c r="E4" s="1" t="s">
        <v>156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35">
      <c r="A5" s="30"/>
      <c r="B5" s="86" t="s">
        <v>6</v>
      </c>
      <c r="C5" s="58" cm="1">
        <f t="array" ref="C5:C6">_xldudf_WISEPRICE($C$2,B5:B6)</f>
        <v>207.72</v>
      </c>
      <c r="D5" s="1"/>
      <c r="E5" s="1" t="s">
        <v>160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35">
      <c r="A6" s="30"/>
      <c r="B6" s="86" t="s">
        <v>18</v>
      </c>
      <c r="C6" s="59">
        <v>14935800000</v>
      </c>
      <c r="D6" s="1"/>
      <c r="E6" s="1" t="s">
        <v>157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5">
      <c r="A7" s="30"/>
      <c r="B7" s="87" t="s">
        <v>19</v>
      </c>
      <c r="C7" s="90">
        <v>0.35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35">
      <c r="A8" s="30"/>
      <c r="B8" s="1"/>
      <c r="C8" s="2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" customHeight="1" x14ac:dyDescent="0.35">
      <c r="A9" s="30"/>
      <c r="B9" s="113" t="s">
        <v>20</v>
      </c>
      <c r="C9" s="111" t="s">
        <v>21</v>
      </c>
      <c r="D9" s="111"/>
      <c r="E9" s="112"/>
      <c r="F9" s="111" t="s">
        <v>22</v>
      </c>
      <c r="G9" s="111"/>
      <c r="H9" s="111"/>
      <c r="I9" s="111"/>
      <c r="J9" s="112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" customHeight="1" x14ac:dyDescent="0.35">
      <c r="A10" s="30"/>
      <c r="B10" s="114"/>
      <c r="C10" s="92">
        <f>D10-1</f>
        <v>2022</v>
      </c>
      <c r="D10" s="92">
        <f>E10-1</f>
        <v>2023</v>
      </c>
      <c r="E10" s="93">
        <f>F10-1</f>
        <v>2024</v>
      </c>
      <c r="F10" s="92">
        <f>C4</f>
        <v>2025</v>
      </c>
      <c r="G10" s="92">
        <f>F10+1</f>
        <v>2026</v>
      </c>
      <c r="H10" s="92">
        <f>G10+1</f>
        <v>2027</v>
      </c>
      <c r="I10" s="92">
        <f>H10+1</f>
        <v>2028</v>
      </c>
      <c r="J10" s="93">
        <f>I10+1</f>
        <v>2029</v>
      </c>
      <c r="K10" s="1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35">
      <c r="A11" s="30"/>
      <c r="B11" s="31"/>
      <c r="C11" s="1"/>
      <c r="D11" s="1"/>
      <c r="E11" s="20"/>
      <c r="F11" s="1"/>
      <c r="G11" s="1"/>
      <c r="H11" s="1"/>
      <c r="I11" s="1"/>
      <c r="J11" s="20"/>
      <c r="K11" s="1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35">
      <c r="A12" s="30"/>
      <c r="B12" s="69" t="s">
        <v>23</v>
      </c>
      <c r="C12" s="33" cm="1">
        <f t="array" ref="C12:E13">_xldudf_WISE($C$2, B12:B13, $C$10:$E$10)</f>
        <v>394328000000</v>
      </c>
      <c r="D12" s="33">
        <v>383285000000</v>
      </c>
      <c r="E12" s="22">
        <v>391035000000</v>
      </c>
      <c r="F12" s="41">
        <f>E12*(1+F13)</f>
        <v>400172184500.00006</v>
      </c>
      <c r="G12" s="33">
        <f>F12*(1+G13)</f>
        <v>402248633501.79449</v>
      </c>
      <c r="H12" s="33">
        <f>G12*(1+H13)</f>
        <v>408785918701.07544</v>
      </c>
      <c r="I12" s="33">
        <f>H12*(1+I13)</f>
        <v>414891464434.95886</v>
      </c>
      <c r="J12" s="22">
        <f>I12*(1+J13)</f>
        <v>456380610878.45477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35">
      <c r="A13" s="30"/>
      <c r="B13" s="73" t="s">
        <v>11</v>
      </c>
      <c r="C13" s="71">
        <v>7.7899999999999997E-2</v>
      </c>
      <c r="D13" s="71">
        <v>-2.8000000000000001E-2</v>
      </c>
      <c r="E13" s="72">
        <v>2.0199999999999999E-2</v>
      </c>
      <c r="F13" s="107">
        <f>AVERAGE(C13:E13)</f>
        <v>2.3366666666666664E-2</v>
      </c>
      <c r="G13" s="107">
        <f>AVERAGE(D13:F13)</f>
        <v>5.1888888888888879E-3</v>
      </c>
      <c r="H13" s="107">
        <f>AVERAGE(E13:G13)</f>
        <v>1.6251851851851851E-2</v>
      </c>
      <c r="I13" s="107">
        <f>AVERAGE(F13:H13)</f>
        <v>1.4935802469135803E-2</v>
      </c>
      <c r="J13" s="108">
        <v>0.1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35">
      <c r="A14" s="30"/>
      <c r="B14" s="31"/>
      <c r="C14" s="45"/>
      <c r="D14" s="3"/>
      <c r="E14" s="14"/>
      <c r="F14" s="3"/>
      <c r="G14" s="3"/>
      <c r="H14" s="3"/>
      <c r="I14" s="1"/>
      <c r="J14" s="20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35">
      <c r="A15" s="30"/>
      <c r="B15" s="69" t="s">
        <v>24</v>
      </c>
      <c r="C15" s="33" cm="1">
        <f t="array" ref="C15:E15">_xldudf_WISE($C$2, B15, $C$10:$E$10)</f>
        <v>223546000000</v>
      </c>
      <c r="D15" s="33">
        <v>214137000000</v>
      </c>
      <c r="E15" s="22">
        <v>210352000000</v>
      </c>
      <c r="F15" s="3">
        <f>F12*F16</f>
        <v>221899331358.91846</v>
      </c>
      <c r="G15" s="3">
        <f>G12*G16</f>
        <v>221388910980.46213</v>
      </c>
      <c r="H15" s="3">
        <f>H12*H16</f>
        <v>223854495942.57074</v>
      </c>
      <c r="I15" s="3">
        <f>I12*I16</f>
        <v>228535502292.86423</v>
      </c>
      <c r="J15" s="14">
        <f>J12*J16</f>
        <v>250829588273.22266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35">
      <c r="A16" s="30"/>
      <c r="B16" s="73" t="s">
        <v>25</v>
      </c>
      <c r="C16" s="71">
        <f>C15/C12</f>
        <v>0.56690369438639909</v>
      </c>
      <c r="D16" s="71">
        <f t="shared" ref="D16:E16" si="0">D15/D12</f>
        <v>0.55868870422792438</v>
      </c>
      <c r="E16" s="72">
        <f t="shared" si="0"/>
        <v>0.53793650184766073</v>
      </c>
      <c r="F16" s="107">
        <f>AVERAGE(C16:E16)</f>
        <v>0.55450963348732807</v>
      </c>
      <c r="G16" s="107">
        <f>AVERAGE(D16:F16)</f>
        <v>0.55037827985430432</v>
      </c>
      <c r="H16" s="107">
        <f>AVERAGE(E16:G16)</f>
        <v>0.54760813839643108</v>
      </c>
      <c r="I16" s="107">
        <f>AVERAGE(F16:H16)</f>
        <v>0.55083201724602116</v>
      </c>
      <c r="J16" s="108">
        <f>AVERAGE(G16:I16)</f>
        <v>0.54960614516558559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35">
      <c r="A17" s="30"/>
      <c r="B17" s="32" t="s">
        <v>26</v>
      </c>
      <c r="C17" s="4" cm="1">
        <f t="array" ref="C17:E18">_xldudf_WISE(C2,B17:B18,C10:E10)</f>
        <v>170782000000</v>
      </c>
      <c r="D17" s="4">
        <v>169148000000</v>
      </c>
      <c r="E17" s="23">
        <v>180683000000</v>
      </c>
      <c r="F17" s="8">
        <f>F12-F15</f>
        <v>178272853141.0816</v>
      </c>
      <c r="G17" s="8">
        <f>G12-G15</f>
        <v>180859722521.33237</v>
      </c>
      <c r="H17" s="8">
        <f>H12-H15</f>
        <v>184931422758.5047</v>
      </c>
      <c r="I17" s="8">
        <f>I12-I15</f>
        <v>186355962142.09464</v>
      </c>
      <c r="J17" s="15">
        <f>J12-J15</f>
        <v>205551022605.23212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35">
      <c r="A18" s="30"/>
      <c r="B18" s="73" t="s">
        <v>27</v>
      </c>
      <c r="C18" s="71">
        <v>0.43309630599999999</v>
      </c>
      <c r="D18" s="77">
        <v>0.441</v>
      </c>
      <c r="E18" s="78">
        <v>0.46206349800000002</v>
      </c>
      <c r="F18" s="12">
        <f>F17/F12</f>
        <v>0.44549036651267193</v>
      </c>
      <c r="G18" s="12">
        <f>G17/G12</f>
        <v>0.44962172014569574</v>
      </c>
      <c r="H18" s="12">
        <f>H17/H12</f>
        <v>0.45239186160356892</v>
      </c>
      <c r="I18" s="12">
        <f>I17/I12</f>
        <v>0.44916798275397884</v>
      </c>
      <c r="J18" s="17">
        <f>J17/J12</f>
        <v>0.45039385483441441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35">
      <c r="A19" s="30"/>
      <c r="B19" s="31"/>
      <c r="C19" s="46"/>
      <c r="D19" s="47"/>
      <c r="E19" s="24"/>
      <c r="F19" s="47"/>
      <c r="G19" s="47"/>
      <c r="H19" s="47"/>
      <c r="I19" s="48"/>
      <c r="J19" s="49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35">
      <c r="A20" s="30"/>
      <c r="B20" s="50" t="s">
        <v>28</v>
      </c>
      <c r="C20" s="33" cm="1">
        <f t="array" ref="C20:E22">_xldudf_WISE($C$2, $B$20:$B$22, C10:E10)</f>
        <v>26251000000</v>
      </c>
      <c r="D20" s="33">
        <v>29915000000</v>
      </c>
      <c r="E20" s="22">
        <v>31370000000</v>
      </c>
      <c r="F20" s="3">
        <f>F12*F21</f>
        <v>29992031905.838619</v>
      </c>
      <c r="G20" s="3">
        <f>G12*G21</f>
        <v>31270780199.837662</v>
      </c>
      <c r="H20" s="3">
        <f>H12*H21</f>
        <v>31736877556.775333</v>
      </c>
      <c r="I20" s="3">
        <f>I12*I21</f>
        <v>31853245361.236092</v>
      </c>
      <c r="J20" s="14">
        <f>J12*J21</f>
        <v>35316516264.643715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35">
      <c r="A21" s="30"/>
      <c r="B21" s="74" t="s">
        <v>161</v>
      </c>
      <c r="C21" s="45">
        <v>6.6571483599999995E-2</v>
      </c>
      <c r="D21" s="12">
        <v>7.80489714E-2</v>
      </c>
      <c r="E21" s="17">
        <v>8.0222997899999995E-2</v>
      </c>
      <c r="F21" s="107">
        <f>AVERAGE(C21:E21)</f>
        <v>7.4947817633333316E-2</v>
      </c>
      <c r="G21" s="107">
        <f>AVERAGEA(D21:F21)</f>
        <v>7.7739928977777761E-2</v>
      </c>
      <c r="H21" s="107">
        <f>AVERAGEA(E21:G21)</f>
        <v>7.7636914837037024E-2</v>
      </c>
      <c r="I21" s="107">
        <f>AVERAGEA(F21:H21)</f>
        <v>7.6774887149382701E-2</v>
      </c>
      <c r="J21" s="108">
        <f>AVERAGEA(G21:I21)</f>
        <v>7.7383910321399171E-2</v>
      </c>
      <c r="K21" s="1"/>
      <c r="L21" s="1"/>
      <c r="M21" s="1"/>
      <c r="N21" s="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35">
      <c r="A22" s="30"/>
      <c r="B22" s="50" t="s">
        <v>152</v>
      </c>
      <c r="C22" s="33">
        <v>25094000000</v>
      </c>
      <c r="D22" s="33">
        <v>24932000000</v>
      </c>
      <c r="E22" s="22">
        <v>26097000000</v>
      </c>
      <c r="F22" s="3">
        <f>F12*F23</f>
        <v>26067729820.750374</v>
      </c>
      <c r="G22" s="3">
        <f>G12*G23</f>
        <v>26404640383.063038</v>
      </c>
      <c r="H22" s="3">
        <f>H12*H23</f>
        <v>26914756614.372547</v>
      </c>
      <c r="I22" s="3">
        <f>I12*I23</f>
        <v>27192620403.314816</v>
      </c>
      <c r="J22" s="14">
        <f>J12*J23</f>
        <v>29972770300.593769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35">
      <c r="A23" s="30"/>
      <c r="B23" s="74" t="s">
        <v>29</v>
      </c>
      <c r="C23" s="71">
        <f>C22/C12</f>
        <v>6.3637378020328261E-2</v>
      </c>
      <c r="D23" s="71">
        <f t="shared" ref="D23:E23" si="1">D22/D12</f>
        <v>6.5048201729783317E-2</v>
      </c>
      <c r="E23" s="72">
        <f t="shared" si="1"/>
        <v>6.6738271510222866E-2</v>
      </c>
      <c r="F23" s="107">
        <f>AVERAGE(C23:E23)</f>
        <v>6.5141283753444815E-2</v>
      </c>
      <c r="G23" s="107">
        <f>AVERAGE(D23:F23)</f>
        <v>6.5642585664483666E-2</v>
      </c>
      <c r="H23" s="107">
        <f>AVERAGE(E23:G23)</f>
        <v>6.5840713642717111E-2</v>
      </c>
      <c r="I23" s="107">
        <f>AVERAGE(F23:H23)</f>
        <v>6.5541527686881859E-2</v>
      </c>
      <c r="J23" s="108">
        <f>AVERAGE(G23:I23)</f>
        <v>6.5674942331360883E-2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35">
      <c r="A24" s="30"/>
      <c r="B24" s="50" t="s">
        <v>30</v>
      </c>
      <c r="C24" s="33" cm="1">
        <f t="array" ref="C24:E24">_xldudf_WISE(C2,B24,C10:E10)</f>
        <v>0</v>
      </c>
      <c r="D24" s="33">
        <v>0</v>
      </c>
      <c r="E24" s="22">
        <v>0</v>
      </c>
      <c r="F24" s="3">
        <f>F12*F25</f>
        <v>0</v>
      </c>
      <c r="G24" s="3">
        <f>G12*G25</f>
        <v>0</v>
      </c>
      <c r="H24" s="3">
        <f>H12*H25</f>
        <v>0</v>
      </c>
      <c r="I24" s="3">
        <f>I12*I25</f>
        <v>0</v>
      </c>
      <c r="J24" s="14">
        <f>J12*J25</f>
        <v>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35">
      <c r="A25" s="30"/>
      <c r="B25" s="73" t="s">
        <v>31</v>
      </c>
      <c r="C25" s="76">
        <f>C24/C12</f>
        <v>0</v>
      </c>
      <c r="D25" s="76">
        <f t="shared" ref="D25:E25" si="2">D24/D12</f>
        <v>0</v>
      </c>
      <c r="E25" s="79">
        <f t="shared" si="2"/>
        <v>0</v>
      </c>
      <c r="F25" s="107">
        <f>AVERAGE(C25:E25)</f>
        <v>0</v>
      </c>
      <c r="G25" s="107">
        <f>AVERAGE(D25:F25)</f>
        <v>0</v>
      </c>
      <c r="H25" s="107">
        <f>AVERAGE(E25:G25)</f>
        <v>0</v>
      </c>
      <c r="I25" s="107">
        <f>AVERAGE(F25:H25)</f>
        <v>0</v>
      </c>
      <c r="J25" s="108">
        <f>AVERAGE(G25:I25)</f>
        <v>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35">
      <c r="A26" s="30"/>
      <c r="B26" s="50" t="s">
        <v>32</v>
      </c>
      <c r="C26" s="33" cm="1">
        <f t="array" ref="C26:E27">_xldudf_WISE(C2,B26:B27,C10:E10)</f>
        <v>228000000</v>
      </c>
      <c r="D26" s="33">
        <v>382000000</v>
      </c>
      <c r="E26" s="22">
        <v>0</v>
      </c>
      <c r="F26" s="3"/>
      <c r="G26" s="3"/>
      <c r="H26" s="3"/>
      <c r="I26" s="3"/>
      <c r="J26" s="14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35">
      <c r="A27" s="30"/>
      <c r="B27" s="51" t="s">
        <v>33</v>
      </c>
      <c r="C27" s="33">
        <v>51573000000</v>
      </c>
      <c r="D27" s="33">
        <v>54847000000</v>
      </c>
      <c r="E27" s="22">
        <v>57467000000</v>
      </c>
      <c r="F27" s="3">
        <f>SUM(F26,F24,F22,F20)</f>
        <v>56059761726.588989</v>
      </c>
      <c r="G27" s="3">
        <f>SUM(G26,G24,G22,G20)</f>
        <v>57675420582.900696</v>
      </c>
      <c r="H27" s="3">
        <f>SUM(H26,H24,H22,H20)</f>
        <v>58651634171.147881</v>
      </c>
      <c r="I27" s="3">
        <f>SUM(I26,I24,I22,I20)</f>
        <v>59045865764.550903</v>
      </c>
      <c r="J27" s="14">
        <f>SUM(J26,J24,J22,J20)</f>
        <v>65289286565.237488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35">
      <c r="A28" s="30"/>
      <c r="B28" s="31"/>
      <c r="C28" s="41"/>
      <c r="D28" s="3"/>
      <c r="E28" s="14"/>
      <c r="F28" s="3"/>
      <c r="G28" s="3"/>
      <c r="H28" s="3"/>
      <c r="I28" s="1"/>
      <c r="J28" s="20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35">
      <c r="A29" s="30"/>
      <c r="B29" s="50" t="s">
        <v>34</v>
      </c>
      <c r="C29" s="33" cm="1">
        <f t="array" ref="C29:E32">_xldudf_WISE($C$2, $B$29:$B$32, C10:E10)</f>
        <v>275119000000</v>
      </c>
      <c r="D29" s="33">
        <v>268984000000</v>
      </c>
      <c r="E29" s="22">
        <v>267819000000</v>
      </c>
      <c r="F29" s="3">
        <f>F27+F15</f>
        <v>277959093085.50745</v>
      </c>
      <c r="G29" s="3">
        <f>G27+G15</f>
        <v>279064331563.36279</v>
      </c>
      <c r="H29" s="3">
        <f>H27+H15</f>
        <v>282506130113.71863</v>
      </c>
      <c r="I29" s="3">
        <f>I27+I15</f>
        <v>287581368057.41516</v>
      </c>
      <c r="J29" s="14">
        <f>J27+J15</f>
        <v>316118874838.46014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35">
      <c r="A30" s="30"/>
      <c r="B30" s="50" t="s">
        <v>35</v>
      </c>
      <c r="C30" s="33">
        <v>130541000000</v>
      </c>
      <c r="D30" s="41">
        <v>125820000000</v>
      </c>
      <c r="E30" s="25">
        <v>134661000000</v>
      </c>
      <c r="F30" s="3">
        <f>F12-F29+F34</f>
        <v>133882263474.86023</v>
      </c>
      <c r="G30" s="3">
        <f>G12-G29+G34</f>
        <v>135048251573.27722</v>
      </c>
      <c r="H30" s="3">
        <f>H12-H29+H34</f>
        <v>138260340252.55502</v>
      </c>
      <c r="I30" s="3">
        <f>I12-I29+I34</f>
        <v>139475003319.49826</v>
      </c>
      <c r="J30" s="14">
        <f>J12-J29+J34</f>
        <v>153667522552.98233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35">
      <c r="A31" s="30"/>
      <c r="B31" s="74" t="s">
        <v>36</v>
      </c>
      <c r="C31" s="33">
        <v>0.33104674299999998</v>
      </c>
      <c r="D31" s="45">
        <v>0.32826747699999997</v>
      </c>
      <c r="E31" s="18">
        <v>0.344370709</v>
      </c>
      <c r="F31" s="3"/>
      <c r="G31" s="3"/>
      <c r="H31" s="3"/>
      <c r="I31" s="1"/>
      <c r="J31" s="20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35">
      <c r="A32" s="30"/>
      <c r="B32" s="50" t="s">
        <v>37</v>
      </c>
      <c r="C32" s="33">
        <v>2931000000</v>
      </c>
      <c r="D32" s="41">
        <v>3933000000</v>
      </c>
      <c r="E32" s="25">
        <v>0</v>
      </c>
      <c r="F32" s="3">
        <f>F33*F85</f>
        <v>2047768872.8612819</v>
      </c>
      <c r="G32" s="3">
        <f>G33*G85</f>
        <v>1870546488.7988634</v>
      </c>
      <c r="H32" s="3">
        <f>H33*H85</f>
        <v>1306105120.5533817</v>
      </c>
      <c r="I32" s="3">
        <f>I33*I85</f>
        <v>1741473494.0711758</v>
      </c>
      <c r="J32" s="14">
        <f>J33*J85</f>
        <v>1639375034.474474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35">
      <c r="A33" s="30"/>
      <c r="B33" s="73" t="s">
        <v>38</v>
      </c>
      <c r="C33" s="71">
        <f>C32/C85</f>
        <v>2.6716617900407448E-2</v>
      </c>
      <c r="D33" s="71">
        <f t="shared" ref="D33:E33" si="3">D32/D85</f>
        <v>3.6912940646469196E-2</v>
      </c>
      <c r="E33" s="72">
        <f t="shared" si="3"/>
        <v>0</v>
      </c>
      <c r="F33" s="45">
        <f>AVERAGE(C33:E33)</f>
        <v>2.120985284895888E-2</v>
      </c>
      <c r="G33" s="45">
        <f>AVERAGE(D33:F33)</f>
        <v>1.9374264498476026E-2</v>
      </c>
      <c r="H33" s="45">
        <f>AVERAGE(E33:G33)</f>
        <v>1.3528039115811635E-2</v>
      </c>
      <c r="I33" s="45">
        <f>AVERAGE(F33:H33)</f>
        <v>1.8037385487748848E-2</v>
      </c>
      <c r="J33" s="18">
        <f>AVERAGE(G33:I33)</f>
        <v>1.6979896367345506E-2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35">
      <c r="A34" s="30"/>
      <c r="B34" s="50" t="s">
        <v>39</v>
      </c>
      <c r="C34" s="33" cm="1">
        <f t="array" ref="C34:E36">_xldudf_WISE(C2,B34:B36,C10:E10)</f>
        <v>11104000000</v>
      </c>
      <c r="D34" s="41">
        <v>11519000000</v>
      </c>
      <c r="E34" s="25">
        <v>11445000000</v>
      </c>
      <c r="F34" s="41">
        <f>F110</f>
        <v>11669172060.367611</v>
      </c>
      <c r="G34" s="41">
        <f>G110</f>
        <v>11863949634.845526</v>
      </c>
      <c r="H34" s="41">
        <f>H110</f>
        <v>11980551665.198204</v>
      </c>
      <c r="I34" s="41">
        <f>I110</f>
        <v>12164906941.954554</v>
      </c>
      <c r="J34" s="25">
        <f>J110</f>
        <v>13405786512.987698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35">
      <c r="A35" s="30"/>
      <c r="B35" s="51" t="s">
        <v>40</v>
      </c>
      <c r="C35" s="6">
        <v>119437000000</v>
      </c>
      <c r="D35" s="6">
        <v>114301000000</v>
      </c>
      <c r="E35" s="26">
        <v>123216000000</v>
      </c>
      <c r="F35" s="8">
        <f>F12-F29</f>
        <v>122213091414.49261</v>
      </c>
      <c r="G35" s="8">
        <f>G12-G29</f>
        <v>123184301938.4317</v>
      </c>
      <c r="H35" s="8">
        <f>H12-H29</f>
        <v>126279788587.35681</v>
      </c>
      <c r="I35" s="8">
        <f>I12-I29</f>
        <v>127310096377.5437</v>
      </c>
      <c r="J35" s="15">
        <f>J12-J29</f>
        <v>140261736039.99463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35">
      <c r="A36" s="30"/>
      <c r="B36" s="74" t="s">
        <v>41</v>
      </c>
      <c r="C36" s="45">
        <v>0.30288744400000001</v>
      </c>
      <c r="D36" s="45">
        <v>0.298214123</v>
      </c>
      <c r="E36" s="18">
        <v>0.31510222900000001</v>
      </c>
      <c r="F36" s="3"/>
      <c r="G36" s="3"/>
      <c r="H36" s="3"/>
      <c r="I36" s="1"/>
      <c r="J36" s="20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35">
      <c r="A37" s="30"/>
      <c r="B37" s="31"/>
      <c r="C37" s="45"/>
      <c r="D37" s="3"/>
      <c r="E37" s="14"/>
      <c r="F37" s="3"/>
      <c r="G37" s="3"/>
      <c r="H37" s="3"/>
      <c r="I37" s="1"/>
      <c r="J37" s="20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35">
      <c r="A38" s="30"/>
      <c r="B38" s="50" t="s">
        <v>42</v>
      </c>
      <c r="C38" s="33" cm="1">
        <f t="array" ref="C38:E42">_xldudf_WISE($C$2, $B$38:$B$42, C10:E10)</f>
        <v>-334000000</v>
      </c>
      <c r="D38" s="33">
        <v>-565000000</v>
      </c>
      <c r="E38" s="22">
        <v>269000000</v>
      </c>
      <c r="F38" s="3"/>
      <c r="G38" s="3"/>
      <c r="H38" s="3"/>
      <c r="I38" s="3"/>
      <c r="J38" s="14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35">
      <c r="A39" s="30"/>
      <c r="B39" s="50" t="s">
        <v>43</v>
      </c>
      <c r="C39" s="33">
        <v>119103000000</v>
      </c>
      <c r="D39" s="33">
        <v>113736000000</v>
      </c>
      <c r="E39" s="22">
        <v>123485000000</v>
      </c>
      <c r="F39" s="3">
        <f>F35-F38</f>
        <v>122213091414.49261</v>
      </c>
      <c r="G39" s="3">
        <f>G35-G38</f>
        <v>123184301938.4317</v>
      </c>
      <c r="H39" s="3">
        <f>H35-H38</f>
        <v>126279788587.35681</v>
      </c>
      <c r="I39" s="3">
        <f>I35-I38</f>
        <v>127310096377.5437</v>
      </c>
      <c r="J39" s="14">
        <f>J35-J38</f>
        <v>140261736039.99463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35">
      <c r="A40" s="30"/>
      <c r="B40" s="52" t="s">
        <v>44</v>
      </c>
      <c r="C40" s="45">
        <v>0.302040433</v>
      </c>
      <c r="D40" s="45">
        <v>0.29674002399999999</v>
      </c>
      <c r="E40" s="18">
        <v>0.31579014700000002</v>
      </c>
      <c r="F40" s="3"/>
      <c r="G40" s="3"/>
      <c r="H40" s="3"/>
      <c r="I40" s="1"/>
      <c r="J40" s="20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35">
      <c r="A41" s="30"/>
      <c r="B41" s="50" t="s">
        <v>45</v>
      </c>
      <c r="C41" s="33">
        <v>19300000000</v>
      </c>
      <c r="D41" s="33">
        <v>16741000000</v>
      </c>
      <c r="E41" s="22">
        <v>29749000000</v>
      </c>
      <c r="F41" s="3">
        <f>F39*$C$7</f>
        <v>42774581995.072411</v>
      </c>
      <c r="G41" s="3">
        <f>G39*$C$7</f>
        <v>43114505678.451096</v>
      </c>
      <c r="H41" s="3">
        <f>H39*$C$7</f>
        <v>44197926005.574883</v>
      </c>
      <c r="I41" s="3">
        <f>I39*$C$7</f>
        <v>44558533732.140289</v>
      </c>
      <c r="J41" s="14">
        <f>J39*$C$7</f>
        <v>49091607613.998116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" thickBot="1" x14ac:dyDescent="0.4">
      <c r="A42" s="30"/>
      <c r="B42" s="51" t="s">
        <v>46</v>
      </c>
      <c r="C42" s="7">
        <v>99803000000</v>
      </c>
      <c r="D42" s="7">
        <v>96995000000</v>
      </c>
      <c r="E42" s="27">
        <v>93736000000</v>
      </c>
      <c r="F42" s="10">
        <f>F39-F41</f>
        <v>79438509419.420197</v>
      </c>
      <c r="G42" s="10">
        <f>G39-G41</f>
        <v>80069796259.980606</v>
      </c>
      <c r="H42" s="10">
        <f>H39-H41</f>
        <v>82081862581.781921</v>
      </c>
      <c r="I42" s="10">
        <f>I39-I41</f>
        <v>82751562645.403412</v>
      </c>
      <c r="J42" s="19">
        <f>J39-J41</f>
        <v>91170128425.996521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" thickTop="1" x14ac:dyDescent="0.35">
      <c r="A43" s="30"/>
      <c r="B43" s="31"/>
      <c r="C43" s="33"/>
      <c r="D43" s="3"/>
      <c r="E43" s="14"/>
      <c r="F43" s="3"/>
      <c r="G43" s="3"/>
      <c r="H43" s="3"/>
      <c r="I43" s="1"/>
      <c r="J43" s="20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35">
      <c r="A44" s="30"/>
      <c r="B44" s="31" t="s">
        <v>12</v>
      </c>
      <c r="C44" s="41" cm="1">
        <f t="array" ref="C44:E44">_xldudf_WISE($C$2,$B44,C10:E10)</f>
        <v>6.15</v>
      </c>
      <c r="D44" s="41">
        <v>6.16</v>
      </c>
      <c r="E44" s="25">
        <v>6.11</v>
      </c>
      <c r="F44" s="9">
        <f>F42/$C$6</f>
        <v>5.3186645120730187</v>
      </c>
      <c r="G44" s="9">
        <f>G42/$C$6</f>
        <v>5.3609312028803684</v>
      </c>
      <c r="H44" s="9">
        <f>H42/$C$6</f>
        <v>5.4956455350086317</v>
      </c>
      <c r="I44" s="9">
        <f>I42/$C$6</f>
        <v>5.5404841150392619</v>
      </c>
      <c r="J44" s="21">
        <f>J42/$C$6</f>
        <v>6.1041342563502807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35">
      <c r="A45" s="30"/>
      <c r="B45" s="31"/>
      <c r="C45" s="9"/>
      <c r="D45" s="9"/>
      <c r="E45" s="21"/>
      <c r="F45" s="3"/>
      <c r="G45" s="3"/>
      <c r="H45" s="3"/>
      <c r="I45" s="1"/>
      <c r="J45" s="20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35">
      <c r="A46" s="30"/>
      <c r="B46" s="31"/>
      <c r="C46" s="3"/>
      <c r="D46" s="3"/>
      <c r="E46" s="14"/>
      <c r="F46" s="3"/>
      <c r="G46" s="3"/>
      <c r="H46" s="3"/>
      <c r="I46" s="1"/>
      <c r="J46" s="20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" customHeight="1" x14ac:dyDescent="0.35">
      <c r="A47" s="30"/>
      <c r="B47" s="114" t="s">
        <v>47</v>
      </c>
      <c r="C47" s="115" t="s">
        <v>21</v>
      </c>
      <c r="D47" s="115"/>
      <c r="E47" s="116"/>
      <c r="F47" s="115" t="s">
        <v>22</v>
      </c>
      <c r="G47" s="115"/>
      <c r="H47" s="115"/>
      <c r="I47" s="115"/>
      <c r="J47" s="116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" customHeight="1" x14ac:dyDescent="0.35">
      <c r="A48" s="30"/>
      <c r="B48" s="114"/>
      <c r="C48" s="92">
        <f>D48-1</f>
        <v>2022</v>
      </c>
      <c r="D48" s="92">
        <f>E48-1</f>
        <v>2023</v>
      </c>
      <c r="E48" s="93">
        <f>F48-1</f>
        <v>2024</v>
      </c>
      <c r="F48" s="92">
        <f>C4</f>
        <v>2025</v>
      </c>
      <c r="G48" s="92">
        <f>F48+1</f>
        <v>2026</v>
      </c>
      <c r="H48" s="92">
        <f>G48+1</f>
        <v>2027</v>
      </c>
      <c r="I48" s="92">
        <f>H48+1</f>
        <v>2028</v>
      </c>
      <c r="J48" s="93">
        <f>I48+1</f>
        <v>2029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35">
      <c r="A49" s="30"/>
      <c r="B49" s="31"/>
      <c r="C49" s="3"/>
      <c r="D49" s="3"/>
      <c r="E49" s="14"/>
      <c r="F49" s="3"/>
      <c r="G49" s="3"/>
      <c r="H49" s="3"/>
      <c r="I49" s="1"/>
      <c r="J49" s="20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35">
      <c r="A50" s="30"/>
      <c r="B50" s="53" t="s">
        <v>48</v>
      </c>
      <c r="C50" s="3"/>
      <c r="D50" s="3"/>
      <c r="E50" s="14"/>
      <c r="F50" s="3"/>
      <c r="G50" s="3"/>
      <c r="H50" s="3"/>
      <c r="I50" s="1"/>
      <c r="J50" s="20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35">
      <c r="A51" s="30"/>
      <c r="B51" s="31"/>
      <c r="C51" s="3"/>
      <c r="D51" s="3"/>
      <c r="E51" s="14"/>
      <c r="F51" s="3"/>
      <c r="G51" s="3"/>
      <c r="H51" s="3"/>
      <c r="I51" s="1"/>
      <c r="J51" s="20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35">
      <c r="A52" s="30"/>
      <c r="B52" s="50" t="s">
        <v>49</v>
      </c>
      <c r="C52" s="33" cm="1">
        <f t="array" ref="C52:E55">_xldudf_WISE($C$2, $B$52:$B$55, C48:E48)</f>
        <v>23646000000</v>
      </c>
      <c r="D52" s="33">
        <v>29965000000</v>
      </c>
      <c r="E52" s="22">
        <v>29943000000</v>
      </c>
      <c r="F52" s="3">
        <f>F138</f>
        <v>114450426081.45026</v>
      </c>
      <c r="G52" s="3">
        <f>G138</f>
        <v>194448422575.99554</v>
      </c>
      <c r="H52" s="3">
        <f>H138</f>
        <v>285393896273.83832</v>
      </c>
      <c r="I52" s="3">
        <f>I138</f>
        <v>377318123068.25934</v>
      </c>
      <c r="J52" s="14">
        <f>J138</f>
        <v>460313187847.51379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35">
      <c r="A53" s="1"/>
      <c r="B53" s="50" t="s">
        <v>50</v>
      </c>
      <c r="C53" s="33">
        <v>24658000000</v>
      </c>
      <c r="D53" s="3">
        <v>31590000000</v>
      </c>
      <c r="E53" s="14">
        <v>35228000000</v>
      </c>
      <c r="F53" s="3">
        <f t="shared" ref="F53:J54" si="4">AVERAGE(C53:E53)</f>
        <v>30492000000</v>
      </c>
      <c r="G53" s="3">
        <f t="shared" si="4"/>
        <v>32436666666.666668</v>
      </c>
      <c r="H53" s="3">
        <f t="shared" si="4"/>
        <v>32718888888.888889</v>
      </c>
      <c r="I53" s="3">
        <f t="shared" si="4"/>
        <v>31882518518.51852</v>
      </c>
      <c r="J53" s="14">
        <f t="shared" si="4"/>
        <v>32346024691.358028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35">
      <c r="A54" s="1"/>
      <c r="B54" s="50" t="s">
        <v>51</v>
      </c>
      <c r="C54" s="33">
        <v>48304000000</v>
      </c>
      <c r="D54" s="3">
        <v>61555000000</v>
      </c>
      <c r="E54" s="14">
        <v>65171000000</v>
      </c>
      <c r="F54" s="3">
        <f t="shared" si="4"/>
        <v>58343333333.333336</v>
      </c>
      <c r="G54" s="3">
        <f t="shared" si="4"/>
        <v>61689777777.777779</v>
      </c>
      <c r="H54" s="3">
        <f t="shared" si="4"/>
        <v>61734703703.703705</v>
      </c>
      <c r="I54" s="3">
        <f t="shared" si="4"/>
        <v>60589271604.938271</v>
      </c>
      <c r="J54" s="14">
        <f t="shared" si="4"/>
        <v>61337917695.473244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35">
      <c r="A55" s="1"/>
      <c r="B55" s="50" t="s">
        <v>52</v>
      </c>
      <c r="C55" s="33">
        <v>60932000000</v>
      </c>
      <c r="D55" s="3">
        <v>60985000000</v>
      </c>
      <c r="E55" s="14">
        <v>66243000000</v>
      </c>
      <c r="F55" s="3">
        <f>F56*F12</f>
        <v>64432623656.467751</v>
      </c>
      <c r="G55" s="3">
        <f>G56*G12</f>
        <v>65637308150.155655</v>
      </c>
      <c r="H55" s="3">
        <f>H56*H12</f>
        <v>67257885939.46022</v>
      </c>
      <c r="I55" s="3">
        <f>I56*I12</f>
        <v>67588452910.954994</v>
      </c>
      <c r="J55" s="14">
        <f>J56*J12</f>
        <v>74635441324.55777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35">
      <c r="A56" s="1"/>
      <c r="B56" s="73" t="s">
        <v>53</v>
      </c>
      <c r="C56" s="71">
        <f>C55/C12</f>
        <v>0.15452110933030372</v>
      </c>
      <c r="D56" s="71">
        <f t="shared" ref="D56:E56" si="5">D55/D12</f>
        <v>0.15911136621574024</v>
      </c>
      <c r="E56" s="72">
        <f t="shared" si="5"/>
        <v>0.16940427327477081</v>
      </c>
      <c r="F56" s="106">
        <f>AVERAGE(C56:E56)</f>
        <v>0.16101224960693825</v>
      </c>
      <c r="G56" s="106">
        <f>AVERAGE(D56:F56)</f>
        <v>0.16317596303248308</v>
      </c>
      <c r="H56" s="106">
        <f>AVERAGE(E56:G56)</f>
        <v>0.16453082863806404</v>
      </c>
      <c r="I56" s="106">
        <f>AVERAGE(F56:H56)</f>
        <v>0.1629063470924951</v>
      </c>
      <c r="J56" s="102">
        <f>AVERAGE(G56:I56)</f>
        <v>0.16353771292101407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35">
      <c r="A57" s="1"/>
      <c r="B57" s="50" t="s">
        <v>54</v>
      </c>
      <c r="C57" s="33" cm="1">
        <f t="array" ref="C57:E57">_xldudf_WISE($C$2, B57, $C$10:$E$10)</f>
        <v>4946000000</v>
      </c>
      <c r="D57" s="3">
        <v>6331000000</v>
      </c>
      <c r="E57" s="14">
        <v>7286000000</v>
      </c>
      <c r="F57" s="3">
        <f>F58*F12</f>
        <v>6361830114.6225348</v>
      </c>
      <c r="G57" s="3">
        <f>G58*G12</f>
        <v>6844672132.5946913</v>
      </c>
      <c r="H57" s="3">
        <f>H58*H12</f>
        <v>7023808502.2895269</v>
      </c>
      <c r="I57" s="3">
        <f>I58*I12</f>
        <v>6928116946.2008352</v>
      </c>
      <c r="J57" s="14">
        <f>J58*J12</f>
        <v>7742765984.6485491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35">
      <c r="A58" s="1"/>
      <c r="B58" s="73" t="s">
        <v>55</v>
      </c>
      <c r="C58" s="71">
        <f>C57/C12</f>
        <v>1.2542857722505123E-2</v>
      </c>
      <c r="D58" s="71">
        <f t="shared" ref="D58:E58" si="6">D57/D12</f>
        <v>1.6517734844828262E-2</v>
      </c>
      <c r="E58" s="72">
        <f t="shared" si="6"/>
        <v>1.8632603219660645E-2</v>
      </c>
      <c r="F58" s="106">
        <f>AVERAGE(C58:E58)</f>
        <v>1.5897731928998012E-2</v>
      </c>
      <c r="G58" s="106">
        <f>AVERAGE(D58:F58)</f>
        <v>1.7016023331162308E-2</v>
      </c>
      <c r="H58" s="106">
        <f>AVERAGE(E58:G58)</f>
        <v>1.7182119493273654E-2</v>
      </c>
      <c r="I58" s="106">
        <f>AVERAGE(F58:H58)</f>
        <v>1.6698624917811326E-2</v>
      </c>
      <c r="J58" s="102">
        <f>AVERAGE(G58:I58)</f>
        <v>1.6965589247415761E-2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35">
      <c r="A59" s="1"/>
      <c r="B59" s="50" t="s">
        <v>56</v>
      </c>
      <c r="C59" s="33" cm="1">
        <f t="array" ref="C59:E60">_xldudf_WISE(C2, B59:B60,C48:E48)</f>
        <v>21223000000</v>
      </c>
      <c r="D59" s="3">
        <v>14695000000</v>
      </c>
      <c r="E59" s="14">
        <v>14287000000</v>
      </c>
      <c r="F59" s="3">
        <f>E59</f>
        <v>14287000000</v>
      </c>
      <c r="G59" s="3">
        <f>F59</f>
        <v>14287000000</v>
      </c>
      <c r="H59" s="3">
        <f>G59</f>
        <v>14287000000</v>
      </c>
      <c r="I59" s="3">
        <f>H59</f>
        <v>14287000000</v>
      </c>
      <c r="J59" s="14">
        <f>I59</f>
        <v>14287000000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35">
      <c r="A60" s="1"/>
      <c r="B60" s="51" t="s">
        <v>57</v>
      </c>
      <c r="C60" s="6">
        <v>135405000000</v>
      </c>
      <c r="D60" s="6">
        <v>143566000000</v>
      </c>
      <c r="E60" s="26">
        <v>152987000000</v>
      </c>
      <c r="F60" s="8">
        <f>SUM(F59,F57,F55,F52:F54)</f>
        <v>288367213185.87384</v>
      </c>
      <c r="G60" s="8">
        <f>SUM(G59,G57,G55,G52:G54)</f>
        <v>375343847303.19037</v>
      </c>
      <c r="H60" s="8">
        <f>SUM(H59,H57,H55,H52:H54)</f>
        <v>468416183308.18066</v>
      </c>
      <c r="I60" s="8">
        <f>SUM(I59,I57,I55,I52:I54)</f>
        <v>558593483048.87195</v>
      </c>
      <c r="J60" s="15">
        <f>SUM(J59,J57,J55,J52:J54)</f>
        <v>650662337543.55139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35">
      <c r="A61" s="1"/>
      <c r="B61" s="31"/>
      <c r="C61" s="3"/>
      <c r="D61" s="3"/>
      <c r="E61" s="14"/>
      <c r="F61" s="3"/>
      <c r="G61" s="3"/>
      <c r="H61" s="3"/>
      <c r="I61" s="1"/>
      <c r="J61" s="20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35">
      <c r="A62" s="1"/>
      <c r="B62" s="50" t="s">
        <v>58</v>
      </c>
      <c r="C62" s="33" cm="1">
        <f t="array" ref="C62:E69">_xldudf_WISE($C$2, $B$62:$B$69, C48:E48)</f>
        <v>52534000000</v>
      </c>
      <c r="D62" s="33">
        <v>54376000000</v>
      </c>
      <c r="E62" s="22">
        <v>45680000000</v>
      </c>
      <c r="F62" s="3">
        <f>E62-F141-F110</f>
        <v>46015993474.632385</v>
      </c>
      <c r="G62" s="3">
        <f>F62-G141-G110</f>
        <v>44208259677.331718</v>
      </c>
      <c r="H62" s="3">
        <f>G62-H141-H110</f>
        <v>32457520963.999306</v>
      </c>
      <c r="I62" s="3">
        <f>H62-I141-I110</f>
        <v>23549846147.281578</v>
      </c>
      <c r="J62" s="14">
        <f>I62-J141-J110</f>
        <v>17379174351.31068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35">
      <c r="A63" s="1"/>
      <c r="B63" s="50" t="s">
        <v>59</v>
      </c>
      <c r="C63" s="33">
        <v>0</v>
      </c>
      <c r="D63" s="3">
        <v>0</v>
      </c>
      <c r="E63" s="14">
        <v>0</v>
      </c>
      <c r="F63" s="3"/>
      <c r="G63" s="3"/>
      <c r="H63" s="3"/>
      <c r="I63" s="1"/>
      <c r="J63" s="20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35">
      <c r="A64" s="1"/>
      <c r="B64" s="50" t="s">
        <v>60</v>
      </c>
      <c r="C64" s="33">
        <v>0</v>
      </c>
      <c r="D64" s="3">
        <v>0</v>
      </c>
      <c r="E64" s="14">
        <v>0</v>
      </c>
      <c r="F64" s="3"/>
      <c r="G64" s="3"/>
      <c r="H64" s="3"/>
      <c r="I64" s="1"/>
      <c r="J64" s="20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35">
      <c r="A65" s="1"/>
      <c r="B65" s="50" t="s">
        <v>61</v>
      </c>
      <c r="C65" s="33">
        <v>0</v>
      </c>
      <c r="D65" s="3">
        <v>0</v>
      </c>
      <c r="E65" s="14">
        <v>0</v>
      </c>
      <c r="F65" s="3"/>
      <c r="G65" s="3"/>
      <c r="H65" s="3"/>
      <c r="I65" s="1"/>
      <c r="J65" s="20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35">
      <c r="A66" s="1"/>
      <c r="B66" s="50" t="s">
        <v>62</v>
      </c>
      <c r="C66" s="33">
        <v>120805000000</v>
      </c>
      <c r="D66" s="3">
        <v>100544000000</v>
      </c>
      <c r="E66" s="14">
        <v>91479000000</v>
      </c>
      <c r="F66" s="3"/>
      <c r="G66" s="3"/>
      <c r="H66" s="3"/>
      <c r="I66" s="1"/>
      <c r="J66" s="20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35">
      <c r="A67" s="1"/>
      <c r="B67" s="50" t="s">
        <v>63</v>
      </c>
      <c r="C67" s="33">
        <v>15375000000</v>
      </c>
      <c r="D67" s="3">
        <v>17852000000</v>
      </c>
      <c r="E67" s="14">
        <v>19499000000</v>
      </c>
      <c r="G67" s="3"/>
      <c r="H67" s="3"/>
      <c r="I67" s="1"/>
      <c r="J67" s="20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35">
      <c r="A68" s="1"/>
      <c r="B68" s="50" t="s">
        <v>64</v>
      </c>
      <c r="C68" s="33">
        <v>28636000000</v>
      </c>
      <c r="D68" s="3">
        <v>36245000000</v>
      </c>
      <c r="E68" s="14">
        <v>55335000000</v>
      </c>
      <c r="F68" s="3">
        <f>E68</f>
        <v>55335000000</v>
      </c>
      <c r="G68" s="3">
        <f>F68</f>
        <v>55335000000</v>
      </c>
      <c r="H68" s="3">
        <f>G68</f>
        <v>55335000000</v>
      </c>
      <c r="I68" s="3">
        <f>H68</f>
        <v>55335000000</v>
      </c>
      <c r="J68" s="14">
        <f>I68</f>
        <v>55335000000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35">
      <c r="A69" s="1"/>
      <c r="B69" s="51" t="s">
        <v>65</v>
      </c>
      <c r="C69" s="8">
        <v>217350000000</v>
      </c>
      <c r="D69" s="8">
        <v>209017000000</v>
      </c>
      <c r="E69" s="15">
        <v>211993000000</v>
      </c>
      <c r="F69" s="8">
        <f>SUM(F62:F68)</f>
        <v>101350993474.63239</v>
      </c>
      <c r="G69" s="8">
        <f>SUM(G62:G68)</f>
        <v>99543259677.331726</v>
      </c>
      <c r="H69" s="8">
        <f>SUM(H62:H68)</f>
        <v>87792520963.999298</v>
      </c>
      <c r="I69" s="8">
        <f>SUM(I62:I68)</f>
        <v>78884846147.281586</v>
      </c>
      <c r="J69" s="15">
        <f>SUM(J62:J68)</f>
        <v>72714174351.310684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35">
      <c r="A70" s="1"/>
      <c r="B70" s="31"/>
      <c r="C70" s="3"/>
      <c r="D70" s="3"/>
      <c r="E70" s="14"/>
      <c r="F70" s="3"/>
      <c r="G70" s="3"/>
      <c r="H70" s="3"/>
      <c r="I70" s="1"/>
      <c r="J70" s="20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35">
      <c r="A71" s="1"/>
      <c r="B71" s="50" t="s">
        <v>66</v>
      </c>
      <c r="C71" s="33" cm="1">
        <f t="array" ref="C71:E72">_xldudf_WISE($C$2, B71:B72, C48:E48)</f>
        <v>0</v>
      </c>
      <c r="D71" s="3">
        <v>0</v>
      </c>
      <c r="E71" s="14">
        <v>0</v>
      </c>
      <c r="F71" s="3">
        <f>E71</f>
        <v>0</v>
      </c>
      <c r="G71" s="3">
        <f>F71</f>
        <v>0</v>
      </c>
      <c r="H71" s="3">
        <f>G71</f>
        <v>0</v>
      </c>
      <c r="I71" s="3">
        <f>H71</f>
        <v>0</v>
      </c>
      <c r="J71" s="14">
        <f>I71</f>
        <v>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" thickBot="1" x14ac:dyDescent="0.4">
      <c r="A72" s="1"/>
      <c r="B72" s="51" t="s">
        <v>67</v>
      </c>
      <c r="C72" s="10">
        <v>352755000000</v>
      </c>
      <c r="D72" s="10">
        <v>352583000000</v>
      </c>
      <c r="E72" s="19">
        <v>364980000000</v>
      </c>
      <c r="F72" s="10">
        <f>SUM(F71+F69+F60)</f>
        <v>389718206660.50623</v>
      </c>
      <c r="G72" s="10">
        <f>SUM(G71+G69+G60)</f>
        <v>474887106980.52209</v>
      </c>
      <c r="H72" s="10">
        <f>SUM(H71+H69+H60)</f>
        <v>556208704272.17993</v>
      </c>
      <c r="I72" s="10">
        <f>SUM(I71+I69+I60)</f>
        <v>637478329196.15356</v>
      </c>
      <c r="J72" s="19">
        <f>SUM(J71+J69+J60)</f>
        <v>723376511894.86206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" thickTop="1" x14ac:dyDescent="0.35">
      <c r="A73" s="1"/>
      <c r="B73" s="31"/>
      <c r="C73" s="3"/>
      <c r="D73" s="3"/>
      <c r="E73" s="14"/>
      <c r="F73" s="3"/>
      <c r="G73" s="3"/>
      <c r="H73" s="3"/>
      <c r="I73" s="1"/>
      <c r="J73" s="20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35">
      <c r="A74" s="1"/>
      <c r="B74" s="53" t="s">
        <v>68</v>
      </c>
      <c r="C74" s="3"/>
      <c r="D74" s="3"/>
      <c r="E74" s="14"/>
      <c r="F74" s="3"/>
      <c r="G74" s="3"/>
      <c r="H74" s="3"/>
      <c r="I74" s="1"/>
      <c r="J74" s="20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35">
      <c r="A75" s="1"/>
      <c r="B75" s="31"/>
      <c r="C75" s="3"/>
      <c r="D75" s="3"/>
      <c r="E75" s="14"/>
      <c r="F75" s="3"/>
      <c r="G75" s="3"/>
      <c r="H75" s="3"/>
      <c r="I75" s="1"/>
      <c r="J75" s="20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35">
      <c r="A76" s="1"/>
      <c r="B76" s="50" t="s">
        <v>69</v>
      </c>
      <c r="C76" s="33" cm="1">
        <f t="array" ref="C76:E76">_xldudf_WISE($C$2, B76, $C$10:$E$10)</f>
        <v>64115000000</v>
      </c>
      <c r="D76" s="33">
        <v>62611000000</v>
      </c>
      <c r="E76" s="22">
        <v>68960000000</v>
      </c>
      <c r="F76" s="3">
        <f>F77*F15</f>
        <v>67089636092.247284</v>
      </c>
      <c r="G76" s="3">
        <f>G77*G15</f>
        <v>68081643143.323204</v>
      </c>
      <c r="H76" s="3">
        <f>H77*H15</f>
        <v>69969056581.595352</v>
      </c>
      <c r="I76" s="3">
        <f>I77*I15</f>
        <v>70269191833.889389</v>
      </c>
      <c r="J76" s="14">
        <f>J77*J15</f>
        <v>77553289824.551895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35">
      <c r="A77" s="1"/>
      <c r="B77" s="75" t="s">
        <v>70</v>
      </c>
      <c r="C77" s="71">
        <f>C76/C15</f>
        <v>0.28680897891261753</v>
      </c>
      <c r="D77" s="71">
        <f t="shared" ref="D77:E77" si="7">D76/D15</f>
        <v>0.29238758364971956</v>
      </c>
      <c r="E77" s="72">
        <f t="shared" si="7"/>
        <v>0.32783144443599299</v>
      </c>
      <c r="F77" s="107">
        <f>AVERAGE(C77:E77)</f>
        <v>0.30234266899944334</v>
      </c>
      <c r="G77" s="107">
        <f>AVERAGE(D77:F77)</f>
        <v>0.30752056569505193</v>
      </c>
      <c r="H77" s="107">
        <f>AVERAGE(E77:G77)</f>
        <v>0.31256489304349611</v>
      </c>
      <c r="I77" s="107">
        <f>AVERAGE(F77:H77)</f>
        <v>0.30747604257933042</v>
      </c>
      <c r="J77" s="108">
        <f>AVERAGE(G77:I77)</f>
        <v>0.30918716710595945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35">
      <c r="A78" s="1"/>
      <c r="B78" s="50" t="s">
        <v>71</v>
      </c>
      <c r="C78" s="33" cm="1">
        <f t="array" ref="C78:E80">_xldudf_WISE($C$2, B78:B80, $C$10:$E$10)</f>
        <v>22773000000</v>
      </c>
      <c r="D78" s="3">
        <v>17382000000</v>
      </c>
      <c r="E78" s="14">
        <v>22511000000</v>
      </c>
      <c r="F78" s="3">
        <f>E78</f>
        <v>22511000000</v>
      </c>
      <c r="G78" s="3">
        <f>F78</f>
        <v>22511000000</v>
      </c>
      <c r="H78" s="3">
        <f>G78</f>
        <v>22511000000</v>
      </c>
      <c r="I78" s="3">
        <f>H78</f>
        <v>22511000000</v>
      </c>
      <c r="J78" s="14">
        <f>I78</f>
        <v>22511000000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35">
      <c r="A79" s="1"/>
      <c r="B79" s="50" t="s">
        <v>72</v>
      </c>
      <c r="C79" s="33">
        <v>6552000000</v>
      </c>
      <c r="D79" s="3">
        <v>8819000000</v>
      </c>
      <c r="E79" s="14">
        <v>26601000000</v>
      </c>
      <c r="F79" s="3"/>
      <c r="G79" s="3"/>
      <c r="H79" s="3"/>
      <c r="I79" s="1"/>
      <c r="J79" s="20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35">
      <c r="A80" s="1"/>
      <c r="B80" s="50" t="s">
        <v>73</v>
      </c>
      <c r="C80" s="33">
        <v>7912000000</v>
      </c>
      <c r="D80" s="3">
        <v>8061000000</v>
      </c>
      <c r="E80" s="14">
        <v>8249000000</v>
      </c>
      <c r="F80" s="3">
        <f>F81*F12</f>
        <v>8295724201.3973904</v>
      </c>
      <c r="G80" s="3">
        <f>G81*G12</f>
        <v>8428051833.947834</v>
      </c>
      <c r="H80" s="3">
        <f>H81*H12</f>
        <v>8554258151.3351889</v>
      </c>
      <c r="I80" s="3">
        <f>I81*I12</f>
        <v>8658610736.6634083</v>
      </c>
      <c r="J80" s="14">
        <f>J81*J12</f>
        <v>9545646871.8158169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35">
      <c r="A81" s="1"/>
      <c r="B81" s="75" t="s">
        <v>74</v>
      </c>
      <c r="C81" s="71">
        <f>C80/C12</f>
        <v>2.0064514820149724E-2</v>
      </c>
      <c r="D81" s="71">
        <f t="shared" ref="D81:E81" si="8">D80/D12</f>
        <v>2.1031347430763011E-2</v>
      </c>
      <c r="E81" s="72">
        <f t="shared" si="8"/>
        <v>2.1095298374825783E-2</v>
      </c>
      <c r="F81" s="107">
        <f>AVERAGE(C81:E81)</f>
        <v>2.0730386875246171E-2</v>
      </c>
      <c r="G81" s="107">
        <f>AVERAGE(D81:F81)</f>
        <v>2.0952344226944988E-2</v>
      </c>
      <c r="H81" s="107">
        <f>AVERAGE(E81:G81)</f>
        <v>2.0926009825672314E-2</v>
      </c>
      <c r="I81" s="107">
        <f>AVERAGE(F81:H81)</f>
        <v>2.0869580309287827E-2</v>
      </c>
      <c r="J81" s="108">
        <f>AVERAGE(G81:I81)</f>
        <v>2.0915978120635045E-2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35">
      <c r="A82" s="1"/>
      <c r="B82" s="50" t="s">
        <v>75</v>
      </c>
      <c r="C82" s="33" cm="1">
        <f t="array" ref="C82:E83">_xldudf_WISE(C2,B82:B83,C48:E48)</f>
        <v>52630000000</v>
      </c>
      <c r="D82" s="3">
        <v>48435000000</v>
      </c>
      <c r="E82" s="14">
        <v>50071000000</v>
      </c>
      <c r="F82" s="3"/>
      <c r="G82" s="3"/>
      <c r="H82" s="3"/>
      <c r="I82" s="1"/>
      <c r="J82" s="20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35">
      <c r="A83" s="1"/>
      <c r="B83" s="51" t="s">
        <v>76</v>
      </c>
      <c r="C83" s="8">
        <v>153982000000</v>
      </c>
      <c r="D83" s="8">
        <v>145308000000</v>
      </c>
      <c r="E83" s="15">
        <v>176392000000</v>
      </c>
      <c r="F83" s="8">
        <f>SUM(F78:F80,F76,F82)</f>
        <v>97896360293.644684</v>
      </c>
      <c r="G83" s="8">
        <f>SUM(G78:G80,G76,G82)</f>
        <v>99020694977.271042</v>
      </c>
      <c r="H83" s="8">
        <f>SUM(H78:H80,H76,H82)</f>
        <v>101034314732.93054</v>
      </c>
      <c r="I83" s="8">
        <f>SUM(I78:I80,I76,I82)</f>
        <v>101438802570.5528</v>
      </c>
      <c r="J83" s="15">
        <f>SUM(J78:J80,J76,J82)</f>
        <v>109609936696.36771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35">
      <c r="A84" s="1"/>
      <c r="B84" s="31"/>
      <c r="C84" s="3"/>
      <c r="D84" s="3"/>
      <c r="E84" s="14"/>
      <c r="F84" s="3"/>
      <c r="G84" s="3"/>
      <c r="H84" s="3"/>
      <c r="I84" s="1"/>
      <c r="J84" s="20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35">
      <c r="A85" s="1"/>
      <c r="B85" s="50" t="s">
        <v>77</v>
      </c>
      <c r="C85" s="33" cm="1">
        <f t="array" ref="C85:E86">_xldudf_WISE($C$2, B85:B86, C48:E48)</f>
        <v>109707000000</v>
      </c>
      <c r="D85" s="33">
        <v>106548000000</v>
      </c>
      <c r="E85" s="22">
        <v>96548000000</v>
      </c>
      <c r="F85" s="3">
        <f>E85</f>
        <v>96548000000</v>
      </c>
      <c r="G85" s="3">
        <f>F85</f>
        <v>96548000000</v>
      </c>
      <c r="H85" s="3">
        <f>G85</f>
        <v>96548000000</v>
      </c>
      <c r="I85" s="3">
        <f>H85</f>
        <v>96548000000</v>
      </c>
      <c r="J85" s="14">
        <f>I85</f>
        <v>96548000000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35">
      <c r="A86" s="1"/>
      <c r="B86" s="50" t="s">
        <v>78</v>
      </c>
      <c r="C86" s="33">
        <v>0</v>
      </c>
      <c r="D86" s="3">
        <v>0</v>
      </c>
      <c r="E86" s="14">
        <v>0</v>
      </c>
      <c r="F86" s="3">
        <f>F87*F12</f>
        <v>0</v>
      </c>
      <c r="G86" s="3">
        <f>G87*G12</f>
        <v>0</v>
      </c>
      <c r="H86" s="3">
        <f>H87*H12</f>
        <v>0</v>
      </c>
      <c r="I86" s="3">
        <f>I87*I12</f>
        <v>0</v>
      </c>
      <c r="J86" s="14">
        <f>J87*J12</f>
        <v>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35">
      <c r="A87" s="1"/>
      <c r="B87" s="75" t="s">
        <v>79</v>
      </c>
      <c r="C87" s="71">
        <f>C86/C12</f>
        <v>0</v>
      </c>
      <c r="D87" s="71">
        <f t="shared" ref="D87:E87" si="9">D86/D12</f>
        <v>0</v>
      </c>
      <c r="E87" s="72">
        <f t="shared" si="9"/>
        <v>0</v>
      </c>
      <c r="F87" s="107">
        <f>AVERAGE(C87:E87)</f>
        <v>0</v>
      </c>
      <c r="G87" s="107">
        <f>AVERAGE(D87:F87)</f>
        <v>0</v>
      </c>
      <c r="H87" s="107">
        <f>AVERAGE(E87:G87)</f>
        <v>0</v>
      </c>
      <c r="I87" s="107">
        <f>AVERAGE(F87:H87)</f>
        <v>0</v>
      </c>
      <c r="J87" s="108">
        <f>AVERAGE(G87:I87)</f>
        <v>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35">
      <c r="A88" s="1"/>
      <c r="B88" s="50" t="s">
        <v>80</v>
      </c>
      <c r="C88" s="33" cm="1">
        <f t="array" ref="C88:E90">_xldudf_WISE($C$2, B88:B90, C48:E48)</f>
        <v>0</v>
      </c>
      <c r="D88" s="3">
        <v>0</v>
      </c>
      <c r="E88" s="14">
        <v>0</v>
      </c>
      <c r="F88" s="3">
        <f t="shared" ref="F88:J89" si="10">E88</f>
        <v>0</v>
      </c>
      <c r="G88" s="3">
        <f t="shared" si="10"/>
        <v>0</v>
      </c>
      <c r="H88" s="3">
        <f t="shared" si="10"/>
        <v>0</v>
      </c>
      <c r="I88" s="3">
        <f t="shared" si="10"/>
        <v>0</v>
      </c>
      <c r="J88" s="14">
        <f t="shared" si="10"/>
        <v>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35">
      <c r="A89" s="1"/>
      <c r="B89" s="50" t="s">
        <v>81</v>
      </c>
      <c r="C89" s="33">
        <v>38394000000</v>
      </c>
      <c r="D89" s="3">
        <v>38581000000</v>
      </c>
      <c r="E89" s="14">
        <v>35090000000</v>
      </c>
      <c r="F89" s="3">
        <f t="shared" si="10"/>
        <v>35090000000</v>
      </c>
      <c r="G89" s="3">
        <f t="shared" si="10"/>
        <v>35090000000</v>
      </c>
      <c r="H89" s="3">
        <f t="shared" si="10"/>
        <v>35090000000</v>
      </c>
      <c r="I89" s="3">
        <f t="shared" si="10"/>
        <v>35090000000</v>
      </c>
      <c r="J89" s="14">
        <f t="shared" si="10"/>
        <v>35090000000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35">
      <c r="A90" s="1"/>
      <c r="B90" s="51" t="s">
        <v>82</v>
      </c>
      <c r="C90" s="33">
        <v>148101000000</v>
      </c>
      <c r="D90" s="3">
        <v>145129000000</v>
      </c>
      <c r="E90" s="14">
        <v>131638000000</v>
      </c>
      <c r="F90" s="3">
        <f>SUM(F88:F89,F85:F86)</f>
        <v>131638000000</v>
      </c>
      <c r="G90" s="3">
        <f>SUM(G88:G89,G85:G86)</f>
        <v>131638000000</v>
      </c>
      <c r="H90" s="3">
        <f>SUM(H88:H89,H85:H86)</f>
        <v>131638000000</v>
      </c>
      <c r="I90" s="3">
        <f>SUM(I88:I89,I85:I86)</f>
        <v>131638000000</v>
      </c>
      <c r="J90" s="14">
        <f>SUM(J88:J89,J85:J86)</f>
        <v>131638000000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35">
      <c r="A91" s="1"/>
      <c r="B91" s="31"/>
      <c r="C91" s="3"/>
      <c r="D91" s="3"/>
      <c r="E91" s="14"/>
      <c r="F91" s="3"/>
      <c r="G91" s="3"/>
      <c r="H91" s="3"/>
      <c r="I91" s="1"/>
      <c r="J91" s="20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35">
      <c r="A92" s="1"/>
      <c r="B92" s="50" t="s">
        <v>83</v>
      </c>
      <c r="C92" s="33" cm="1">
        <f t="array" ref="C92:E93">_xldudf_WISE($C$2, B92:B93, C48:E48)</f>
        <v>0</v>
      </c>
      <c r="D92" s="3">
        <v>0</v>
      </c>
      <c r="E92" s="14">
        <v>0</v>
      </c>
      <c r="F92" s="3">
        <f>E92</f>
        <v>0</v>
      </c>
      <c r="G92" s="3">
        <f>F92</f>
        <v>0</v>
      </c>
      <c r="H92" s="3">
        <f>G92</f>
        <v>0</v>
      </c>
      <c r="I92" s="3">
        <f>H92</f>
        <v>0</v>
      </c>
      <c r="J92" s="14">
        <f>I92</f>
        <v>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35">
      <c r="A93" s="1"/>
      <c r="B93" s="51" t="s">
        <v>84</v>
      </c>
      <c r="C93" s="8">
        <v>302083000000</v>
      </c>
      <c r="D93" s="8">
        <v>290437000000</v>
      </c>
      <c r="E93" s="15">
        <v>308030000000</v>
      </c>
      <c r="F93" s="8">
        <f>SUM(F90,F83)</f>
        <v>229534360293.64468</v>
      </c>
      <c r="G93" s="8">
        <f>SUM(G90,G83)</f>
        <v>230658694977.27106</v>
      </c>
      <c r="H93" s="8">
        <f>SUM(H90,H83)</f>
        <v>232672314732.93054</v>
      </c>
      <c r="I93" s="8">
        <f>SUM(I90,I83)</f>
        <v>233076802570.5528</v>
      </c>
      <c r="J93" s="15">
        <f>SUM(J90,J83)</f>
        <v>241247936696.36771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35">
      <c r="A94" s="1"/>
      <c r="B94" s="31"/>
      <c r="C94" s="3"/>
      <c r="D94" s="3"/>
      <c r="E94" s="16"/>
      <c r="F94" s="3"/>
      <c r="G94" s="3"/>
      <c r="H94" s="3"/>
      <c r="I94" s="3"/>
      <c r="J94" s="16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35">
      <c r="A95" s="1"/>
      <c r="B95" s="54" t="s">
        <v>85</v>
      </c>
      <c r="C95" s="1"/>
      <c r="D95" s="1"/>
      <c r="E95" s="20"/>
      <c r="F95" s="1"/>
      <c r="G95" s="1"/>
      <c r="H95" s="1"/>
      <c r="I95" s="1"/>
      <c r="J95" s="20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35">
      <c r="A96" s="1"/>
      <c r="B96" s="54"/>
      <c r="C96" s="1"/>
      <c r="D96" s="1"/>
      <c r="E96" s="20"/>
      <c r="F96" s="1"/>
      <c r="G96" s="1"/>
      <c r="H96" s="1"/>
      <c r="I96" s="1"/>
      <c r="J96" s="20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7" customHeight="1" x14ac:dyDescent="0.35">
      <c r="A97" s="1"/>
      <c r="B97" s="50" t="s">
        <v>86</v>
      </c>
      <c r="C97" s="33" cm="1">
        <f t="array" ref="C97:E101">_xldudf_WISE($C$2, B97:B101, C48:E48)</f>
        <v>64849000000</v>
      </c>
      <c r="D97" s="33">
        <v>73812000000</v>
      </c>
      <c r="E97" s="22">
        <v>83276000000</v>
      </c>
      <c r="F97" s="3">
        <f>E97</f>
        <v>83276000000</v>
      </c>
      <c r="G97" s="3">
        <f>F97</f>
        <v>83276000000</v>
      </c>
      <c r="H97" s="3">
        <f>G97</f>
        <v>83276000000</v>
      </c>
      <c r="I97" s="3">
        <f>H97</f>
        <v>83276000000</v>
      </c>
      <c r="J97" s="14">
        <f>I97</f>
        <v>83276000000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35">
      <c r="A98" s="1"/>
      <c r="B98" s="50" t="s">
        <v>87</v>
      </c>
      <c r="C98" s="3">
        <v>-3068000000</v>
      </c>
      <c r="D98" s="3">
        <v>-214000000</v>
      </c>
      <c r="E98" s="14">
        <v>-19154000000</v>
      </c>
      <c r="F98" s="3">
        <f>E98+F42-F132</f>
        <v>60284509419.420197</v>
      </c>
      <c r="G98" s="3">
        <f>F98+G42-G132</f>
        <v>140354305679.40082</v>
      </c>
      <c r="H98" s="3">
        <f>G98+H42-H132</f>
        <v>222436168261.18274</v>
      </c>
      <c r="I98" s="3">
        <f>H98+I42-I132</f>
        <v>305187730906.58618</v>
      </c>
      <c r="J98" s="14">
        <f>I98+J42-J132</f>
        <v>396357859332.5827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35">
      <c r="A99" s="1"/>
      <c r="B99" s="50" t="s">
        <v>88</v>
      </c>
      <c r="C99" s="3">
        <v>-11109000000</v>
      </c>
      <c r="D99" s="3">
        <v>-11452000000</v>
      </c>
      <c r="E99" s="14">
        <v>-7172000000</v>
      </c>
      <c r="F99" s="3">
        <f t="shared" ref="F99:J100" si="11">E99</f>
        <v>-7172000000</v>
      </c>
      <c r="G99" s="3">
        <f t="shared" si="11"/>
        <v>-7172000000</v>
      </c>
      <c r="H99" s="3">
        <f t="shared" si="11"/>
        <v>-7172000000</v>
      </c>
      <c r="I99" s="3">
        <f t="shared" si="11"/>
        <v>-7172000000</v>
      </c>
      <c r="J99" s="14">
        <f t="shared" si="11"/>
        <v>-7172000000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35">
      <c r="A100" s="1"/>
      <c r="B100" s="50" t="s">
        <v>89</v>
      </c>
      <c r="C100" s="3">
        <v>0</v>
      </c>
      <c r="D100" s="3">
        <v>0</v>
      </c>
      <c r="E100" s="14">
        <v>0</v>
      </c>
      <c r="F100" s="3">
        <f t="shared" si="11"/>
        <v>0</v>
      </c>
      <c r="G100" s="3">
        <f t="shared" si="11"/>
        <v>0</v>
      </c>
      <c r="H100" s="3">
        <f t="shared" si="11"/>
        <v>0</v>
      </c>
      <c r="I100" s="3">
        <f t="shared" si="11"/>
        <v>0</v>
      </c>
      <c r="J100" s="14">
        <f t="shared" si="11"/>
        <v>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35">
      <c r="A101" s="1"/>
      <c r="B101" s="51" t="s">
        <v>90</v>
      </c>
      <c r="C101" s="8">
        <v>50672000000</v>
      </c>
      <c r="D101" s="8">
        <v>62146000000</v>
      </c>
      <c r="E101" s="15">
        <v>56950000000</v>
      </c>
      <c r="F101" s="8">
        <f>SUM(F97:F100)</f>
        <v>136388509419.4202</v>
      </c>
      <c r="G101" s="8">
        <f>SUM(G97:G100)</f>
        <v>216458305679.40082</v>
      </c>
      <c r="H101" s="8">
        <f>SUM(H97:H100)</f>
        <v>298540168261.18274</v>
      </c>
      <c r="I101" s="8">
        <f>SUM(I97:I100)</f>
        <v>381291730906.58618</v>
      </c>
      <c r="J101" s="15">
        <f>SUM(J97:J100)</f>
        <v>472461859332.5827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35">
      <c r="A102" s="1"/>
      <c r="B102" s="31"/>
      <c r="C102" s="8"/>
      <c r="D102" s="3"/>
      <c r="E102" s="14"/>
      <c r="F102" s="3"/>
      <c r="G102" s="3"/>
      <c r="H102" s="3"/>
      <c r="I102" s="1"/>
      <c r="J102" s="20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" thickBot="1" x14ac:dyDescent="0.4">
      <c r="A103" s="1"/>
      <c r="B103" s="55" t="s">
        <v>91</v>
      </c>
      <c r="C103" s="10" cm="1">
        <f t="array" ref="C103:E103">_xldudf_WISE($C$2, B103, $C$10:$E$10)</f>
        <v>352755000000</v>
      </c>
      <c r="D103" s="10">
        <v>352583000000</v>
      </c>
      <c r="E103" s="19">
        <v>364980000000</v>
      </c>
      <c r="F103" s="10">
        <f>SUM(F101,F93)</f>
        <v>365922869713.06488</v>
      </c>
      <c r="G103" s="10">
        <f>SUM(G101,G93)</f>
        <v>447117000656.67188</v>
      </c>
      <c r="H103" s="10">
        <f>SUM(H101,H93)</f>
        <v>531212482994.11328</v>
      </c>
      <c r="I103" s="10">
        <f>SUM(I101,I93)</f>
        <v>614368533477.13892</v>
      </c>
      <c r="J103" s="19">
        <f>SUM(J101,J93)</f>
        <v>713709796028.95044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" thickTop="1" x14ac:dyDescent="0.35">
      <c r="A104" s="1"/>
      <c r="B104" s="31"/>
      <c r="C104" s="3"/>
      <c r="D104" s="3"/>
      <c r="E104" s="14"/>
      <c r="F104" s="3"/>
      <c r="G104" s="3"/>
      <c r="H104" s="3"/>
      <c r="I104" s="1"/>
      <c r="J104" s="20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7" customHeight="1" x14ac:dyDescent="0.35">
      <c r="A105" s="1"/>
      <c r="B105" s="31"/>
      <c r="C105" s="3"/>
      <c r="D105" s="3"/>
      <c r="E105" s="14"/>
      <c r="F105" s="3"/>
      <c r="G105" s="3"/>
      <c r="H105" s="3"/>
      <c r="I105" s="1"/>
      <c r="J105" s="20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" customHeight="1" x14ac:dyDescent="0.35">
      <c r="A106" s="1"/>
      <c r="B106" s="114" t="s">
        <v>92</v>
      </c>
      <c r="C106" s="115" t="s">
        <v>21</v>
      </c>
      <c r="D106" s="115"/>
      <c r="E106" s="116"/>
      <c r="F106" s="115" t="s">
        <v>22</v>
      </c>
      <c r="G106" s="115"/>
      <c r="H106" s="115"/>
      <c r="I106" s="115"/>
      <c r="J106" s="116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" customHeight="1" x14ac:dyDescent="0.35">
      <c r="A107" s="1"/>
      <c r="B107" s="114"/>
      <c r="C107" s="92">
        <f>D107-1</f>
        <v>2022</v>
      </c>
      <c r="D107" s="92">
        <f>E107-1</f>
        <v>2023</v>
      </c>
      <c r="E107" s="93">
        <f>F107-1</f>
        <v>2024</v>
      </c>
      <c r="F107" s="92">
        <f>C4</f>
        <v>2025</v>
      </c>
      <c r="G107" s="92">
        <f>F107+1</f>
        <v>2026</v>
      </c>
      <c r="H107" s="92">
        <f>G107+1</f>
        <v>2027</v>
      </c>
      <c r="I107" s="92">
        <f>H107+1</f>
        <v>2028</v>
      </c>
      <c r="J107" s="93">
        <f>I107+1</f>
        <v>2029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35">
      <c r="A108" s="1"/>
      <c r="B108" s="31"/>
      <c r="C108" s="3"/>
      <c r="D108" s="3"/>
      <c r="E108" s="14"/>
      <c r="F108" s="3"/>
      <c r="G108" s="3"/>
      <c r="H108" s="3"/>
      <c r="I108" s="1"/>
      <c r="J108" s="20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35">
      <c r="A109" s="1"/>
      <c r="B109" s="51" t="s">
        <v>46</v>
      </c>
      <c r="C109" s="33" cm="1">
        <f t="array" ref="C109:E110">_xldudf_WISE(C2,B109:B110,C107:E107)</f>
        <v>99803000000</v>
      </c>
      <c r="D109" s="33">
        <v>96995000000</v>
      </c>
      <c r="E109" s="22">
        <v>93736000000</v>
      </c>
      <c r="F109" s="3">
        <f>F42</f>
        <v>79438509419.420197</v>
      </c>
      <c r="G109" s="3">
        <f>G42</f>
        <v>80069796259.980606</v>
      </c>
      <c r="H109" s="3">
        <f>H42</f>
        <v>82081862581.781921</v>
      </c>
      <c r="I109" s="3">
        <f>I42</f>
        <v>82751562645.403412</v>
      </c>
      <c r="J109" s="14">
        <f>J42</f>
        <v>91170128425.996521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35">
      <c r="A110" s="1"/>
      <c r="B110" s="50" t="s">
        <v>39</v>
      </c>
      <c r="C110" s="33">
        <v>11104000000</v>
      </c>
      <c r="D110" s="3">
        <v>11519000000</v>
      </c>
      <c r="E110" s="14">
        <v>11445000000</v>
      </c>
      <c r="F110" s="3">
        <f>F111*F12</f>
        <v>11669172060.367611</v>
      </c>
      <c r="G110" s="3">
        <f>G111*G12</f>
        <v>11863949634.845526</v>
      </c>
      <c r="H110" s="3">
        <f>H111*H12</f>
        <v>11980551665.198204</v>
      </c>
      <c r="I110" s="3">
        <f>I111*I12</f>
        <v>12164906941.954554</v>
      </c>
      <c r="J110" s="14">
        <f>J111*J12</f>
        <v>13405786512.987698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35">
      <c r="A111" s="1"/>
      <c r="B111" s="73" t="s">
        <v>93</v>
      </c>
      <c r="C111" s="45">
        <f>C110/C12</f>
        <v>2.8159298857803657E-2</v>
      </c>
      <c r="D111" s="45">
        <f t="shared" ref="D111:E111" si="12">D110/D12</f>
        <v>3.0053354553400212E-2</v>
      </c>
      <c r="E111" s="18">
        <f t="shared" si="12"/>
        <v>2.9268479803598143E-2</v>
      </c>
      <c r="F111" s="106">
        <f>AVERAGE(C111:E111)</f>
        <v>2.9160377738267337E-2</v>
      </c>
      <c r="G111" s="106">
        <f>AVERAGE(D111:F111)</f>
        <v>2.9494070698421897E-2</v>
      </c>
      <c r="H111" s="106">
        <f>AVERAGE(E111:G111)</f>
        <v>2.9307642746762463E-2</v>
      </c>
      <c r="I111" s="106">
        <f>AVERAGE(F111:H111)</f>
        <v>2.9320697061150567E-2</v>
      </c>
      <c r="J111" s="102">
        <f>AVERAGE(G111:I111)</f>
        <v>2.9374136835444976E-2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35">
      <c r="A112" s="1"/>
      <c r="B112" s="50" t="s">
        <v>94</v>
      </c>
      <c r="C112" s="33" cm="1">
        <f t="array" ref="C112:E120">_xldudf_WISE($C$2, $B$112:$B$120, C107:E107)</f>
        <v>895000000</v>
      </c>
      <c r="D112" s="33">
        <v>0</v>
      </c>
      <c r="E112" s="22">
        <v>0</v>
      </c>
      <c r="F112" s="3"/>
      <c r="G112" s="3"/>
      <c r="H112" s="3"/>
      <c r="I112" s="1"/>
      <c r="J112" s="20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35">
      <c r="A113" s="1"/>
      <c r="B113" s="50" t="s">
        <v>95</v>
      </c>
      <c r="C113" s="3">
        <v>9038000000</v>
      </c>
      <c r="D113" s="3">
        <v>10833000000</v>
      </c>
      <c r="E113" s="14">
        <v>11688000000</v>
      </c>
      <c r="F113" s="3">
        <f>E113</f>
        <v>11688000000</v>
      </c>
      <c r="G113" s="3">
        <f>F113</f>
        <v>11688000000</v>
      </c>
      <c r="H113" s="3">
        <f>G113</f>
        <v>11688000000</v>
      </c>
      <c r="I113" s="3">
        <f>H113</f>
        <v>11688000000</v>
      </c>
      <c r="J113" s="14">
        <f>I113</f>
        <v>11688000000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35">
      <c r="A114" s="1"/>
      <c r="B114" s="50" t="s">
        <v>96</v>
      </c>
      <c r="C114" s="3">
        <v>1200000000</v>
      </c>
      <c r="D114" s="3">
        <v>-6577000000</v>
      </c>
      <c r="E114" s="14">
        <v>3651000000</v>
      </c>
      <c r="F114" s="3">
        <f>(E60-E83)-(F60-F83)</f>
        <v>-213875852892.22916</v>
      </c>
      <c r="G114" s="3">
        <f>(F60-F83)-(G60-G83)</f>
        <v>-85852299433.690155</v>
      </c>
      <c r="H114" s="3">
        <f>(G60-G83)-(H60-H83)</f>
        <v>-91058716249.330811</v>
      </c>
      <c r="I114" s="3">
        <f>(H60-H83)-(I60-I83)</f>
        <v>-89772811903.069031</v>
      </c>
      <c r="J114" s="14">
        <f>(I60-I83)-(J60-J83)</f>
        <v>-83897720368.864563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35">
      <c r="A115" s="1"/>
      <c r="B115" s="50" t="s">
        <v>97</v>
      </c>
      <c r="C115" s="3">
        <v>-1823000000</v>
      </c>
      <c r="D115" s="3">
        <v>-1688000000</v>
      </c>
      <c r="E115" s="14">
        <v>-5144000000</v>
      </c>
      <c r="F115" s="3">
        <f>E55-F55</f>
        <v>1810376343.5322495</v>
      </c>
      <c r="G115" s="3">
        <f>F55-G55</f>
        <v>-1204684493.6879044</v>
      </c>
      <c r="H115" s="3">
        <f>G55-H55</f>
        <v>-1620577789.3045654</v>
      </c>
      <c r="I115" s="3">
        <f>H55-I55</f>
        <v>-330566971.49477386</v>
      </c>
      <c r="J115" s="14">
        <f>I55-J55</f>
        <v>-7046988413.6027756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35">
      <c r="A116" s="1"/>
      <c r="B116" s="50" t="s">
        <v>54</v>
      </c>
      <c r="C116" s="3">
        <v>4946000000</v>
      </c>
      <c r="D116" s="3">
        <v>6331000000</v>
      </c>
      <c r="E116" s="14">
        <v>7286000000</v>
      </c>
      <c r="F116" s="3">
        <f>E57-F57</f>
        <v>924169885.37746525</v>
      </c>
      <c r="G116" s="3">
        <f>F57-G57</f>
        <v>-482842017.97215652</v>
      </c>
      <c r="H116" s="3">
        <f>G57-H57</f>
        <v>-179136369.69483566</v>
      </c>
      <c r="I116" s="3">
        <f>H57-I57</f>
        <v>95691556.088691711</v>
      </c>
      <c r="J116" s="14">
        <f>I57-J57</f>
        <v>-814649038.44771385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35">
      <c r="A117" s="1"/>
      <c r="B117" s="50" t="s">
        <v>98</v>
      </c>
      <c r="C117" s="3">
        <v>9448000000</v>
      </c>
      <c r="D117" s="3">
        <v>-1889000000</v>
      </c>
      <c r="E117" s="14">
        <v>6020000000</v>
      </c>
      <c r="F117" s="3">
        <f>E76-F76</f>
        <v>1870363907.7527161</v>
      </c>
      <c r="G117" s="3">
        <f>F76-G76</f>
        <v>-992007051.0759201</v>
      </c>
      <c r="H117" s="3">
        <f>G76-H76</f>
        <v>-1887413438.2721481</v>
      </c>
      <c r="I117" s="3">
        <f>H76-I76</f>
        <v>-300135252.29403687</v>
      </c>
      <c r="J117" s="14">
        <f>I76-J76</f>
        <v>-7284097990.6625061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35">
      <c r="A118" s="1"/>
      <c r="B118" s="50" t="s">
        <v>99</v>
      </c>
      <c r="C118" s="3">
        <v>478000000</v>
      </c>
      <c r="D118" s="3">
        <v>-2653000000</v>
      </c>
      <c r="E118" s="14">
        <v>3821000000</v>
      </c>
      <c r="F118" s="3"/>
      <c r="G118" s="3"/>
      <c r="H118" s="3"/>
      <c r="I118" s="1"/>
      <c r="J118" s="20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35">
      <c r="A119" s="1"/>
      <c r="B119" s="50" t="s">
        <v>100</v>
      </c>
      <c r="C119" s="3">
        <v>111000000</v>
      </c>
      <c r="D119" s="3">
        <v>-2227000000</v>
      </c>
      <c r="E119" s="14">
        <v>-2266000000</v>
      </c>
      <c r="F119" s="3">
        <v>0</v>
      </c>
      <c r="G119" s="3">
        <v>0</v>
      </c>
      <c r="H119" s="3">
        <v>0</v>
      </c>
      <c r="I119" s="3">
        <v>0</v>
      </c>
      <c r="J119" s="14">
        <v>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35">
      <c r="A120" s="1"/>
      <c r="B120" s="51" t="s">
        <v>101</v>
      </c>
      <c r="C120" s="8">
        <v>122151000000</v>
      </c>
      <c r="D120" s="8">
        <v>110543000000</v>
      </c>
      <c r="E120" s="15">
        <v>118254000000</v>
      </c>
      <c r="F120" s="8">
        <f>SUM(F109:F110,F115:F119)</f>
        <v>95712591616.450256</v>
      </c>
      <c r="G120" s="8">
        <f>SUM(G109:G110,G115:G119)</f>
        <v>89254212332.090149</v>
      </c>
      <c r="H120" s="8">
        <f>SUM(H109:H110,H115:H119)</f>
        <v>90375286649.708588</v>
      </c>
      <c r="I120" s="8">
        <f>SUM(I109:I110,I115:I119)</f>
        <v>94381458919.657837</v>
      </c>
      <c r="J120" s="15">
        <f>SUM(J109:J110,J115:J119)</f>
        <v>89430179496.271225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35">
      <c r="A121" s="1"/>
      <c r="B121" s="31"/>
      <c r="C121" s="11"/>
      <c r="D121" s="11"/>
      <c r="E121" s="16"/>
      <c r="F121" s="3"/>
      <c r="G121" s="3"/>
      <c r="H121" s="3"/>
      <c r="I121" s="1"/>
      <c r="J121" s="20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35">
      <c r="A122" s="1"/>
      <c r="B122" s="50" t="s">
        <v>102</v>
      </c>
      <c r="C122" s="33" cm="1">
        <f t="array" ref="C122:E127">_xldudf_WISE($C$2, $B$122:$B$127, C107:E107)</f>
        <v>-10708000000</v>
      </c>
      <c r="D122" s="33">
        <v>-10959000000</v>
      </c>
      <c r="E122" s="22">
        <v>-9447000000</v>
      </c>
      <c r="F122" s="3">
        <f>F141</f>
        <v>-12005165535.000002</v>
      </c>
      <c r="G122" s="3">
        <f>G141</f>
        <v>-10056215837.544863</v>
      </c>
      <c r="H122" s="3">
        <f>H141</f>
        <v>-229812951.8657918</v>
      </c>
      <c r="I122" s="3">
        <f>I141</f>
        <v>-3257232125.2368221</v>
      </c>
      <c r="J122" s="14">
        <f>J141</f>
        <v>-7235114717.016799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35">
      <c r="A123" s="1"/>
      <c r="B123" s="50" t="s">
        <v>103</v>
      </c>
      <c r="C123" s="3">
        <v>-306000000</v>
      </c>
      <c r="D123" s="3">
        <v>0</v>
      </c>
      <c r="E123" s="14">
        <v>0</v>
      </c>
      <c r="F123" s="1"/>
      <c r="G123" s="1"/>
      <c r="H123" s="1"/>
      <c r="I123" s="1"/>
      <c r="J123" s="20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35">
      <c r="A124" s="1"/>
      <c r="B124" s="50" t="s">
        <v>104</v>
      </c>
      <c r="C124" s="3">
        <v>-76923000000</v>
      </c>
      <c r="D124" s="3">
        <v>-29513000000</v>
      </c>
      <c r="E124" s="14">
        <v>-48656000000</v>
      </c>
      <c r="F124" s="1"/>
      <c r="G124" s="1"/>
      <c r="H124" s="1"/>
      <c r="I124" s="1"/>
      <c r="J124" s="20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35">
      <c r="A125" s="1"/>
      <c r="B125" s="50" t="s">
        <v>105</v>
      </c>
      <c r="C125" s="3">
        <v>67363000000</v>
      </c>
      <c r="D125" s="3">
        <v>45514000000</v>
      </c>
      <c r="E125" s="14">
        <v>62346000000</v>
      </c>
      <c r="F125" s="1"/>
      <c r="G125" s="1"/>
      <c r="H125" s="1"/>
      <c r="I125" s="1"/>
      <c r="J125" s="20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35">
      <c r="A126" s="1"/>
      <c r="B126" s="50" t="s">
        <v>106</v>
      </c>
      <c r="C126" s="3">
        <v>-2086000000</v>
      </c>
      <c r="D126" s="3">
        <v>-1337000000</v>
      </c>
      <c r="E126" s="14">
        <v>-1308000000</v>
      </c>
      <c r="F126" s="1"/>
      <c r="G126" s="1"/>
      <c r="H126" s="1"/>
      <c r="I126" s="1"/>
      <c r="J126" s="20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35">
      <c r="A127" s="1"/>
      <c r="B127" s="51" t="s">
        <v>107</v>
      </c>
      <c r="C127" s="8">
        <v>-22354000000</v>
      </c>
      <c r="D127" s="8">
        <v>3705000000</v>
      </c>
      <c r="E127" s="15">
        <v>2935000000</v>
      </c>
      <c r="F127" s="8">
        <f>SUM(F122:F126)</f>
        <v>-12005165535.000002</v>
      </c>
      <c r="G127" s="8">
        <f>SUM(G122:G126)</f>
        <v>-10056215837.544863</v>
      </c>
      <c r="H127" s="8">
        <f>SUM(H122:H126)</f>
        <v>-229812951.8657918</v>
      </c>
      <c r="I127" s="8">
        <f>SUM(I122:I126)</f>
        <v>-3257232125.2368221</v>
      </c>
      <c r="J127" s="15">
        <f>SUM(J122:J126)</f>
        <v>-7235114717.016799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35">
      <c r="A128" s="1"/>
      <c r="B128" s="31"/>
      <c r="C128" s="3"/>
      <c r="D128" s="3"/>
      <c r="E128" s="14"/>
      <c r="F128" s="1"/>
      <c r="G128" s="1"/>
      <c r="H128" s="1"/>
      <c r="I128" s="1"/>
      <c r="J128" s="20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35">
      <c r="A129" s="1"/>
      <c r="B129" s="50" t="s">
        <v>108</v>
      </c>
      <c r="C129" s="33" cm="1">
        <f t="array" ref="C129:E134">_xldudf_WISE($C$2, $B$129:$B$134, C107:E107)</f>
        <v>-4078000000</v>
      </c>
      <c r="D129" s="33">
        <v>-9901000000</v>
      </c>
      <c r="E129" s="22">
        <v>-5998000000</v>
      </c>
      <c r="F129" s="41">
        <v>0</v>
      </c>
      <c r="G129" s="41">
        <v>0</v>
      </c>
      <c r="H129" s="41">
        <v>0</v>
      </c>
      <c r="I129" s="41">
        <v>0</v>
      </c>
      <c r="J129" s="25">
        <v>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35">
      <c r="A130" s="1"/>
      <c r="B130" s="50" t="s">
        <v>109</v>
      </c>
      <c r="C130" s="3">
        <v>0</v>
      </c>
      <c r="D130" s="3">
        <v>0</v>
      </c>
      <c r="E130" s="14">
        <v>0</v>
      </c>
      <c r="F130" s="41">
        <v>800000000</v>
      </c>
      <c r="G130" s="41">
        <v>800000000</v>
      </c>
      <c r="H130" s="41">
        <v>800000000</v>
      </c>
      <c r="I130" s="41">
        <v>800000000</v>
      </c>
      <c r="J130" s="25">
        <v>800000000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35">
      <c r="A131" s="1"/>
      <c r="B131" s="50" t="s">
        <v>110</v>
      </c>
      <c r="C131" s="3">
        <v>-89402000000</v>
      </c>
      <c r="D131" s="3">
        <v>-77550000000</v>
      </c>
      <c r="E131" s="14">
        <v>-94949000000</v>
      </c>
      <c r="F131" s="41">
        <v>0</v>
      </c>
      <c r="G131" s="41">
        <v>0</v>
      </c>
      <c r="H131" s="41">
        <v>0</v>
      </c>
      <c r="I131" s="41">
        <v>0</v>
      </c>
      <c r="J131" s="25">
        <v>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35">
      <c r="A132" s="1"/>
      <c r="B132" s="50" t="s">
        <v>111</v>
      </c>
      <c r="C132" s="3">
        <v>-14841000000</v>
      </c>
      <c r="D132" s="3">
        <v>-15025000000</v>
      </c>
      <c r="E132" s="14">
        <v>-15234000000</v>
      </c>
      <c r="F132" s="41">
        <v>0</v>
      </c>
      <c r="G132" s="41">
        <v>0</v>
      </c>
      <c r="H132" s="41">
        <v>0</v>
      </c>
      <c r="I132" s="41">
        <v>0</v>
      </c>
      <c r="J132" s="25">
        <v>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35">
      <c r="A133" s="1"/>
      <c r="B133" s="50" t="s">
        <v>112</v>
      </c>
      <c r="C133" s="3">
        <v>-2428000000</v>
      </c>
      <c r="D133" s="3">
        <v>-6012000000</v>
      </c>
      <c r="E133" s="14">
        <v>-5802000000</v>
      </c>
      <c r="F133" s="41">
        <v>0</v>
      </c>
      <c r="G133" s="41">
        <v>0</v>
      </c>
      <c r="H133" s="41">
        <v>0</v>
      </c>
      <c r="I133" s="41">
        <v>0</v>
      </c>
      <c r="J133" s="25">
        <v>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35">
      <c r="A134" s="1"/>
      <c r="B134" s="51" t="s">
        <v>113</v>
      </c>
      <c r="C134" s="8">
        <v>-110749000000</v>
      </c>
      <c r="D134" s="8">
        <v>-108488000000</v>
      </c>
      <c r="E134" s="15">
        <v>-121983000000</v>
      </c>
      <c r="F134" s="13">
        <f>SUM(F129:F133)</f>
        <v>800000000</v>
      </c>
      <c r="G134" s="13">
        <f>SUM(G129:G133)</f>
        <v>800000000</v>
      </c>
      <c r="H134" s="13">
        <f>SUM(H129:H133)</f>
        <v>800000000</v>
      </c>
      <c r="I134" s="13">
        <f>SUM(I129:I133)</f>
        <v>800000000</v>
      </c>
      <c r="J134" s="56">
        <f>SUM(J129:J133)</f>
        <v>800000000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35">
      <c r="A135" s="1"/>
      <c r="B135" s="31"/>
      <c r="C135" s="3"/>
      <c r="D135" s="3"/>
      <c r="E135" s="14"/>
      <c r="F135" s="1"/>
      <c r="G135" s="1"/>
      <c r="H135" s="1"/>
      <c r="I135" s="1"/>
      <c r="J135" s="20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35">
      <c r="A136" s="1"/>
      <c r="B136" s="50" t="s">
        <v>114</v>
      </c>
      <c r="C136" s="33" cm="1">
        <f t="array" ref="C136:E141">_xldudf_WISE($C$2, $B$136:$B$141, C107:E107)</f>
        <v>0</v>
      </c>
      <c r="D136" s="33">
        <v>0</v>
      </c>
      <c r="E136" s="22">
        <v>0</v>
      </c>
      <c r="F136" s="41">
        <v>0</v>
      </c>
      <c r="G136" s="41">
        <v>0</v>
      </c>
      <c r="H136" s="41">
        <v>0</v>
      </c>
      <c r="I136" s="41">
        <v>0</v>
      </c>
      <c r="J136" s="25">
        <v>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35">
      <c r="A137" s="1"/>
      <c r="B137" s="50" t="s">
        <v>115</v>
      </c>
      <c r="C137" s="8">
        <v>-10952000000</v>
      </c>
      <c r="D137" s="8">
        <v>5760000000</v>
      </c>
      <c r="E137" s="15">
        <v>-794000000</v>
      </c>
      <c r="F137" s="13">
        <f>F120+F127+F134</f>
        <v>84507426081.450256</v>
      </c>
      <c r="G137" s="13">
        <f>G120+G127+G134</f>
        <v>79997996494.545288</v>
      </c>
      <c r="H137" s="13">
        <f>H120+H127+H134</f>
        <v>90945473697.842789</v>
      </c>
      <c r="I137" s="13">
        <f>I120+I127+I134</f>
        <v>91924226794.421021</v>
      </c>
      <c r="J137" s="56">
        <f>J120+J127+J134</f>
        <v>82995064779.254425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35">
      <c r="A138" s="1"/>
      <c r="B138" s="50" t="s">
        <v>116</v>
      </c>
      <c r="C138" s="3">
        <v>24977000000</v>
      </c>
      <c r="D138" s="3">
        <v>30737000000</v>
      </c>
      <c r="E138" s="14">
        <v>29943000000</v>
      </c>
      <c r="F138" s="9">
        <f>F139+F137</f>
        <v>114450426081.45026</v>
      </c>
      <c r="G138" s="9">
        <f>G139+G137</f>
        <v>194448422575.99554</v>
      </c>
      <c r="H138" s="9">
        <f>H139+H137</f>
        <v>285393896273.83832</v>
      </c>
      <c r="I138" s="9">
        <f>I139+I137</f>
        <v>377318123068.25934</v>
      </c>
      <c r="J138" s="21">
        <f>J139+J137</f>
        <v>460313187847.51379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35">
      <c r="A139" s="1"/>
      <c r="B139" s="50" t="s">
        <v>117</v>
      </c>
      <c r="C139" s="3">
        <v>35929000000</v>
      </c>
      <c r="D139" s="3">
        <v>24977000000</v>
      </c>
      <c r="E139" s="14">
        <v>30737000000</v>
      </c>
      <c r="F139" s="3">
        <f>E138</f>
        <v>29943000000</v>
      </c>
      <c r="G139" s="3">
        <f>F138</f>
        <v>114450426081.45026</v>
      </c>
      <c r="H139" s="3">
        <f>G138</f>
        <v>194448422575.99554</v>
      </c>
      <c r="I139" s="3">
        <f>H138</f>
        <v>285393896273.83832</v>
      </c>
      <c r="J139" s="14">
        <f>I138</f>
        <v>377318123068.25934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35">
      <c r="A140" s="1"/>
      <c r="B140" s="50" t="s">
        <v>118</v>
      </c>
      <c r="C140" s="3">
        <v>122151000000</v>
      </c>
      <c r="D140" s="3">
        <v>110543000000</v>
      </c>
      <c r="E140" s="14">
        <v>118254000000</v>
      </c>
      <c r="F140" s="3">
        <f>F120</f>
        <v>95712591616.450256</v>
      </c>
      <c r="G140" s="3">
        <f>G120</f>
        <v>89254212332.090149</v>
      </c>
      <c r="H140" s="3">
        <f>H120</f>
        <v>90375286649.708588</v>
      </c>
      <c r="I140" s="3">
        <f>I120</f>
        <v>94381458919.657837</v>
      </c>
      <c r="J140" s="14">
        <f>J120</f>
        <v>89430179496.271225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7" customHeight="1" x14ac:dyDescent="0.35">
      <c r="A141" s="1"/>
      <c r="B141" s="50" t="s">
        <v>119</v>
      </c>
      <c r="C141" s="3">
        <v>-10708000000</v>
      </c>
      <c r="D141" s="3">
        <v>-10959000000</v>
      </c>
      <c r="E141" s="14">
        <v>-9447000000</v>
      </c>
      <c r="F141" s="33">
        <f>-F12*F142</f>
        <v>-12005165535.000002</v>
      </c>
      <c r="G141" s="33">
        <f>-G12*G142</f>
        <v>-10056215837.544863</v>
      </c>
      <c r="H141" s="33">
        <f>-H12*H142</f>
        <v>-229812951.8657918</v>
      </c>
      <c r="I141" s="33">
        <f>-I12*I142</f>
        <v>-3257232125.2368221</v>
      </c>
      <c r="J141" s="22">
        <f>-J12*J142</f>
        <v>-7235114717.016799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7" customHeight="1" x14ac:dyDescent="0.35">
      <c r="A142" s="1"/>
      <c r="B142" s="75" t="s">
        <v>120</v>
      </c>
      <c r="C142" s="12">
        <f>C141/C12</f>
        <v>-2.7155058732831552E-2</v>
      </c>
      <c r="D142" s="12">
        <f t="shared" ref="D142:E142" si="13">D141/D12</f>
        <v>-2.859230076835775E-2</v>
      </c>
      <c r="E142" s="17">
        <f t="shared" si="13"/>
        <v>-2.415896275269477E-2</v>
      </c>
      <c r="F142" s="5">
        <v>0.03</v>
      </c>
      <c r="G142" s="5">
        <v>2.5000000000000001E-2</v>
      </c>
      <c r="H142" s="5">
        <f>AVERAGE(D142:G142)</f>
        <v>5.6218411973687002E-4</v>
      </c>
      <c r="I142" s="5">
        <f>AVERAGE(E142:H142)</f>
        <v>7.850805341760525E-3</v>
      </c>
      <c r="J142" s="38">
        <f>AVERAGE(F142:I142)</f>
        <v>1.585324736537435E-2</v>
      </c>
      <c r="K142" s="5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35">
      <c r="A143" s="1"/>
      <c r="B143" s="57" t="s">
        <v>121</v>
      </c>
      <c r="C143" s="8" cm="1">
        <f t="array" ref="C143:E143">_xldudf_WISE($C$2, B143, $C$10:$E$10)</f>
        <v>111443000000</v>
      </c>
      <c r="D143" s="8">
        <v>99584000000</v>
      </c>
      <c r="E143" s="15">
        <v>108807000000</v>
      </c>
      <c r="F143" s="8">
        <f>SUM(F140:F141)</f>
        <v>83707426081.450256</v>
      </c>
      <c r="G143" s="8">
        <f>G39+G110-G114-G141</f>
        <v>230956766844.51224</v>
      </c>
      <c r="H143" s="8">
        <f>H39+H110-H114-H141</f>
        <v>229548869453.75162</v>
      </c>
      <c r="I143" s="8">
        <f>I39+I110-I114-I141</f>
        <v>232505047347.80411</v>
      </c>
      <c r="J143" s="15">
        <f>J39+J110-J114-J141</f>
        <v>244800357638.86368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35">
      <c r="A144" s="1"/>
      <c r="B144" s="1"/>
      <c r="C144" s="1"/>
      <c r="D144" s="1"/>
      <c r="E144" s="3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</sheetData>
  <mergeCells count="9">
    <mergeCell ref="C9:E9"/>
    <mergeCell ref="F9:J9"/>
    <mergeCell ref="B9:B10"/>
    <mergeCell ref="B106:B107"/>
    <mergeCell ref="C106:E106"/>
    <mergeCell ref="F106:J106"/>
    <mergeCell ref="B47:B48"/>
    <mergeCell ref="C47:E47"/>
    <mergeCell ref="F47:J47"/>
  </mergeCells>
  <pageMargins left="0.7" right="0.7" top="0.75" bottom="0.75" header="0.3" footer="0.3"/>
  <ignoredErrors>
    <ignoredError sqref="F22:J22 F57:J57 G55:J55 F86:J86 F98 G98:J98 F24:J24" formula="1"/>
  </ignoredError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F0F0E-1781-1046-942B-C56D5942FA35}">
  <dimension ref="A1:BR265"/>
  <sheetViews>
    <sheetView zoomScale="112" workbookViewId="0">
      <selection activeCell="N13" sqref="N13"/>
    </sheetView>
  </sheetViews>
  <sheetFormatPr defaultColWidth="11" defaultRowHeight="15.5" x14ac:dyDescent="0.35"/>
  <cols>
    <col min="1" max="1" width="4.5" customWidth="1"/>
    <col min="4" max="4" width="14.5" customWidth="1"/>
    <col min="5" max="5" width="17.83203125" bestFit="1" customWidth="1"/>
    <col min="6" max="8" width="18.83203125" bestFit="1" customWidth="1"/>
    <col min="9" max="9" width="19.83203125" bestFit="1" customWidth="1"/>
    <col min="11" max="11" width="12.83203125" customWidth="1"/>
    <col min="12" max="12" width="13.5" customWidth="1"/>
    <col min="13" max="13" width="24" bestFit="1" customWidth="1"/>
    <col min="15" max="15" width="20.1640625" customWidth="1"/>
    <col min="16" max="16" width="23.83203125" customWidth="1"/>
    <col min="18" max="18" width="23" bestFit="1" customWidth="1"/>
    <col min="19" max="19" width="19.83203125" bestFit="1" customWidth="1"/>
  </cols>
  <sheetData>
    <row r="1" spans="1:70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</row>
    <row r="2" spans="1:70" ht="21" x14ac:dyDescent="0.5">
      <c r="A2" s="1"/>
      <c r="B2" s="117" t="s">
        <v>122</v>
      </c>
      <c r="C2" s="117"/>
      <c r="D2" s="117"/>
      <c r="E2" s="28" t="e" cm="1">
        <f t="array" aca="1" ref="E2" ca="1">[1]!_xldudf_WISEPRICE('Statements Model'!C2,"Name")</f>
        <v>#NAME?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</row>
    <row r="3" spans="1:70" x14ac:dyDescent="0.35">
      <c r="A3" s="1"/>
      <c r="B3" s="1"/>
      <c r="C3" s="1"/>
      <c r="D3" s="1"/>
      <c r="E3" s="1" t="str">
        <f>'Statements Model'!C2</f>
        <v>AAPL</v>
      </c>
      <c r="F3" s="1"/>
      <c r="G3" s="70" t="s">
        <v>0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</row>
    <row r="4" spans="1:70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</row>
    <row r="5" spans="1:70" x14ac:dyDescent="0.35">
      <c r="A5" s="1"/>
      <c r="B5" s="94" t="s">
        <v>123</v>
      </c>
      <c r="C5" s="95"/>
      <c r="D5" s="95"/>
      <c r="E5" s="118" t="s">
        <v>22</v>
      </c>
      <c r="F5" s="118"/>
      <c r="G5" s="118"/>
      <c r="H5" s="118"/>
      <c r="I5" s="119"/>
      <c r="J5" s="1"/>
      <c r="K5" s="94" t="s">
        <v>124</v>
      </c>
      <c r="L5" s="99"/>
      <c r="M5" s="100"/>
      <c r="N5" s="29"/>
      <c r="O5" s="94" t="s">
        <v>125</v>
      </c>
      <c r="P5" s="100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</row>
    <row r="6" spans="1:70" x14ac:dyDescent="0.35">
      <c r="A6" s="1"/>
      <c r="B6" s="86"/>
      <c r="C6" s="92"/>
      <c r="D6" s="92">
        <f>'Statements Model'!E10</f>
        <v>2024</v>
      </c>
      <c r="E6" s="96">
        <f>'Statements Model'!F107</f>
        <v>2025</v>
      </c>
      <c r="F6" s="96">
        <f>'Statements Model'!G107</f>
        <v>2026</v>
      </c>
      <c r="G6" s="96">
        <f>'Statements Model'!H107</f>
        <v>2027</v>
      </c>
      <c r="H6" s="96">
        <f>'Statements Model'!I107</f>
        <v>2028</v>
      </c>
      <c r="I6" s="97">
        <f>'Statements Model'!J107</f>
        <v>2029</v>
      </c>
      <c r="J6" s="1"/>
      <c r="K6" s="101"/>
      <c r="L6" s="96"/>
      <c r="M6" s="97"/>
      <c r="N6" s="29"/>
      <c r="O6" s="101"/>
      <c r="P6" s="109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</row>
    <row r="7" spans="1:70" x14ac:dyDescent="0.35">
      <c r="A7" s="1"/>
      <c r="B7" s="31"/>
      <c r="C7" s="1"/>
      <c r="D7" s="1"/>
      <c r="E7" s="1"/>
      <c r="F7" s="1"/>
      <c r="G7" s="1"/>
      <c r="H7" s="1"/>
      <c r="I7" s="20"/>
      <c r="J7" s="1"/>
      <c r="K7" s="31" t="s">
        <v>126</v>
      </c>
      <c r="L7" s="1"/>
      <c r="M7" s="102" t="e">
        <f ca="1">P24</f>
        <v>#NAME?</v>
      </c>
      <c r="N7" s="1"/>
      <c r="O7" s="31" t="e" vm="1">
        <v>#VALUE!</v>
      </c>
      <c r="P7" s="38" cm="1">
        <f t="array" aca="1" ref="P7" ca="1">_FV(O7,"Yield yesterday",TRUE)</f>
        <v>4.4389999999999999E-2</v>
      </c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</row>
    <row r="8" spans="1:70" x14ac:dyDescent="0.35">
      <c r="A8" s="1"/>
      <c r="B8" s="32" t="s">
        <v>35</v>
      </c>
      <c r="C8" s="1"/>
      <c r="D8" s="1"/>
      <c r="E8" s="33">
        <f>'Statements Model'!F35</f>
        <v>122213091414.49261</v>
      </c>
      <c r="F8" s="33">
        <f>'Statements Model'!G35</f>
        <v>123184301938.4317</v>
      </c>
      <c r="G8" s="33">
        <f>'Statements Model'!H35</f>
        <v>126279788587.35681</v>
      </c>
      <c r="H8" s="33">
        <f>'Statements Model'!I35</f>
        <v>127310096377.5437</v>
      </c>
      <c r="I8" s="22">
        <f>'Statements Model'!J35</f>
        <v>140261736039.99463</v>
      </c>
      <c r="J8" s="1"/>
      <c r="K8" s="31"/>
      <c r="L8" s="1"/>
      <c r="M8" s="20"/>
      <c r="N8" s="1"/>
      <c r="O8" s="31" t="e" vm="2">
        <v>#VALUE!</v>
      </c>
      <c r="P8" s="38" cm="1">
        <f t="array" aca="1" ref="P8" ca="1">_FV(O8,"Yield yesterday",TRUE)</f>
        <v>4.0629999999999999E-2</v>
      </c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</row>
    <row r="9" spans="1:70" x14ac:dyDescent="0.35">
      <c r="A9" s="1"/>
      <c r="B9" s="31"/>
      <c r="C9" s="1"/>
      <c r="D9" s="1"/>
      <c r="E9" s="1"/>
      <c r="F9" s="1"/>
      <c r="G9" s="1"/>
      <c r="H9" s="1"/>
      <c r="I9" s="20"/>
      <c r="J9" s="1"/>
      <c r="K9" s="31" t="s">
        <v>127</v>
      </c>
      <c r="L9" s="1"/>
      <c r="M9" s="103">
        <v>0.02</v>
      </c>
      <c r="N9" s="1"/>
      <c r="O9" s="31"/>
      <c r="P9" s="38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</row>
    <row r="10" spans="1:70" x14ac:dyDescent="0.35">
      <c r="A10" s="1"/>
      <c r="B10" s="32" t="s">
        <v>121</v>
      </c>
      <c r="C10" s="1"/>
      <c r="D10" s="1"/>
      <c r="E10" s="33">
        <f>'Statements Model'!F143</f>
        <v>83707426081.450256</v>
      </c>
      <c r="F10" s="33">
        <f>'Statements Model'!G143</f>
        <v>230956766844.51224</v>
      </c>
      <c r="G10" s="33">
        <f>'Statements Model'!H143</f>
        <v>229548869453.75162</v>
      </c>
      <c r="H10" s="33">
        <f>'Statements Model'!I143</f>
        <v>232505047347.80411</v>
      </c>
      <c r="I10" s="22">
        <f>'Statements Model'!J143</f>
        <v>244800357638.86368</v>
      </c>
      <c r="J10" s="1"/>
      <c r="K10" s="31" t="s">
        <v>128</v>
      </c>
      <c r="L10" s="1"/>
      <c r="M10" s="21" t="e">
        <f ca="1">I10*(1+M9)/(M7-M9)</f>
        <v>#NAME?</v>
      </c>
      <c r="N10" s="1"/>
      <c r="O10" s="31" t="s">
        <v>129</v>
      </c>
      <c r="P10" s="18">
        <f ca="1">AVERAGE(P7:P8)</f>
        <v>4.2509999999999999E-2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</row>
    <row r="11" spans="1:70" x14ac:dyDescent="0.35">
      <c r="A11" s="1"/>
      <c r="B11" s="34" t="s">
        <v>130</v>
      </c>
      <c r="C11" s="35"/>
      <c r="D11" s="35"/>
      <c r="E11" s="36" t="e">
        <f ca="1">E10/((1+$M$7)^(E6-$D$6))</f>
        <v>#NAME?</v>
      </c>
      <c r="F11" s="36" t="e">
        <f ca="1">F10/((1+$M$7)^(F6-$D$6))</f>
        <v>#NAME?</v>
      </c>
      <c r="G11" s="36" t="e">
        <f t="shared" ref="G11:I11" ca="1" si="0">G10/((1+$M$7)^(G6-$D$6))</f>
        <v>#NAME?</v>
      </c>
      <c r="H11" s="36" t="e">
        <f t="shared" ca="1" si="0"/>
        <v>#NAME?</v>
      </c>
      <c r="I11" s="37" t="e">
        <f t="shared" ca="1" si="0"/>
        <v>#NAME?</v>
      </c>
      <c r="J11" s="1"/>
      <c r="K11" s="31"/>
      <c r="L11" s="1"/>
      <c r="M11" s="20"/>
      <c r="N11" s="1"/>
      <c r="O11" s="31" t="s">
        <v>131</v>
      </c>
      <c r="P11" s="110" t="e" cm="1">
        <f t="array" aca="1" ref="P11" ca="1">[1]!_xldudf_WISEPRICE(E3, "beta")</f>
        <v>#NAME?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</row>
    <row r="12" spans="1:70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31" t="s">
        <v>132</v>
      </c>
      <c r="L12" s="1"/>
      <c r="M12" s="39" t="e">
        <f ca="1">M10/((1+M7)^5)</f>
        <v>#NAME?</v>
      </c>
      <c r="N12" s="1"/>
      <c r="O12" s="31" t="s">
        <v>133</v>
      </c>
      <c r="P12" s="104">
        <v>0.08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</row>
    <row r="13" spans="1:70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31" t="s">
        <v>134</v>
      </c>
      <c r="L13" s="1"/>
      <c r="M13" s="14" t="e">
        <f ca="1">SUM(E11:I11)</f>
        <v>#NAME?</v>
      </c>
      <c r="N13" s="1"/>
      <c r="O13" s="60" t="s">
        <v>135</v>
      </c>
      <c r="P13" s="61" t="e">
        <f ca="1">P10+P11*(P12-P10)</f>
        <v>#NAME?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</row>
    <row r="14" spans="1:70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32" t="s">
        <v>136</v>
      </c>
      <c r="L14" s="1"/>
      <c r="M14" s="40" t="e">
        <f ca="1">SUM(M12:M13)</f>
        <v>#NAME?</v>
      </c>
      <c r="N14" s="1"/>
      <c r="O14" s="31"/>
      <c r="P14" s="20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</row>
    <row r="15" spans="1:70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31"/>
      <c r="L15" s="1"/>
      <c r="M15" s="20"/>
      <c r="N15" s="1"/>
      <c r="O15" s="31" t="s">
        <v>137</v>
      </c>
      <c r="P15" s="62">
        <v>0.35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</row>
    <row r="16" spans="1:70" x14ac:dyDescent="0.35">
      <c r="A16" s="1"/>
      <c r="B16" s="94" t="s">
        <v>138</v>
      </c>
      <c r="C16" s="95"/>
      <c r="D16" s="98"/>
      <c r="E16" s="1"/>
      <c r="F16" s="1"/>
      <c r="G16" s="1"/>
      <c r="H16" s="1"/>
      <c r="I16" s="1"/>
      <c r="J16" s="1"/>
      <c r="K16" s="31" t="s">
        <v>139</v>
      </c>
      <c r="L16" s="1"/>
      <c r="M16" s="20"/>
      <c r="N16" s="1"/>
      <c r="O16" s="31" t="s">
        <v>9</v>
      </c>
      <c r="P16" s="25" t="e" cm="1">
        <f t="array" aca="1" ref="P16" ca="1">[1]!_xldudf_WISEPRICE('Statements Model'!C2,DCF!O16)</f>
        <v>#NAME?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</row>
    <row r="17" spans="1:70" x14ac:dyDescent="0.35">
      <c r="A17" s="1"/>
      <c r="B17" s="86"/>
      <c r="C17" s="92"/>
      <c r="D17" s="93"/>
      <c r="E17" s="1"/>
      <c r="F17" s="1"/>
      <c r="G17" s="1"/>
      <c r="H17" s="1"/>
      <c r="I17" s="1"/>
      <c r="J17" s="1"/>
      <c r="K17" s="32" t="s">
        <v>140</v>
      </c>
      <c r="L17" s="1"/>
      <c r="M17" s="39" t="e">
        <f ca="1">M14-M16</f>
        <v>#NAME?</v>
      </c>
      <c r="N17" s="1"/>
      <c r="O17" s="31" t="s">
        <v>141</v>
      </c>
      <c r="P17" s="25" t="e" cm="1">
        <f t="array" aca="1" ref="P17" ca="1">[1]!_xldudf_WISE($E$3,O17,$D$6)</f>
        <v>#NAME?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</row>
    <row r="18" spans="1:70" x14ac:dyDescent="0.35">
      <c r="A18" s="1"/>
      <c r="B18" s="31" t="s">
        <v>142</v>
      </c>
      <c r="C18" s="1"/>
      <c r="D18" s="21" t="e">
        <f ca="1">M20</f>
        <v>#NAME?</v>
      </c>
      <c r="E18" s="1"/>
      <c r="F18" s="1"/>
      <c r="G18" s="1"/>
      <c r="H18" s="1"/>
      <c r="I18" s="1"/>
      <c r="J18" s="1"/>
      <c r="K18" s="31"/>
      <c r="L18" s="1"/>
      <c r="M18" s="20"/>
      <c r="N18" s="1"/>
      <c r="O18" s="31" t="s">
        <v>143</v>
      </c>
      <c r="P18" s="25" t="e" cm="1">
        <f t="array" aca="1" ref="P18" ca="1">[1]!_xldudf_WISE($E$3,O18,$D$6)</f>
        <v>#NAME?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</row>
    <row r="19" spans="1:70" x14ac:dyDescent="0.35">
      <c r="A19" s="1"/>
      <c r="B19" s="31" t="e">
        <f ca="1">IF(M22&gt;0,"Upside","Downside")</f>
        <v>#NAME?</v>
      </c>
      <c r="C19" s="1"/>
      <c r="D19" s="21" t="e">
        <f ca="1">M22</f>
        <v>#NAME?</v>
      </c>
      <c r="E19" s="1"/>
      <c r="F19" s="1"/>
      <c r="G19" s="1"/>
      <c r="H19" s="1"/>
      <c r="I19" s="1"/>
      <c r="J19" s="1"/>
      <c r="K19" s="32" t="s">
        <v>144</v>
      </c>
      <c r="L19" s="1"/>
      <c r="M19" s="25" t="e">
        <f ca="1">M17/'Statements Model'!C6</f>
        <v>#NAME?</v>
      </c>
      <c r="N19" s="1"/>
      <c r="O19" s="60" t="s">
        <v>145</v>
      </c>
      <c r="P19" s="56" t="e">
        <f ca="1">P16-P17+P18</f>
        <v>#NAME?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</row>
    <row r="20" spans="1:70" x14ac:dyDescent="0.35">
      <c r="A20" s="1"/>
      <c r="B20" s="42" t="s">
        <v>146</v>
      </c>
      <c r="C20" s="35"/>
      <c r="D20" s="44" t="e">
        <f ca="1">M19</f>
        <v>#NAME?</v>
      </c>
      <c r="E20" s="1"/>
      <c r="F20" s="1"/>
      <c r="G20" s="1"/>
      <c r="H20" s="1"/>
      <c r="I20" s="1"/>
      <c r="J20" s="1"/>
      <c r="K20" s="31" t="s">
        <v>147</v>
      </c>
      <c r="L20" s="30" t="s">
        <v>6</v>
      </c>
      <c r="M20" s="25" t="e" cm="1">
        <f t="array" aca="1" ref="M20" ca="1">[1]!_xldudf_WISEPRICE('Statements Model'!C2,L20)</f>
        <v>#NAME?</v>
      </c>
      <c r="N20" s="1"/>
      <c r="O20" s="63"/>
      <c r="P20" s="20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</row>
    <row r="21" spans="1:70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31"/>
      <c r="L21" s="1"/>
      <c r="M21" s="20"/>
      <c r="N21" s="1"/>
      <c r="O21" s="31" t="s">
        <v>148</v>
      </c>
      <c r="P21" s="64" t="e">
        <f ca="1">P18</f>
        <v>#NAME?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</row>
    <row r="22" spans="1:70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31" t="e">
        <f ca="1">IF(M22&gt;0,"Potential Upside ($)","Potential Downside ($)")</f>
        <v>#NAME?</v>
      </c>
      <c r="L22" s="1"/>
      <c r="M22" s="21" t="e">
        <f ca="1">M19-M20</f>
        <v>#NAME?</v>
      </c>
      <c r="N22" s="1"/>
      <c r="O22" s="31" t="s">
        <v>149</v>
      </c>
      <c r="P22" s="62">
        <v>0.02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</row>
    <row r="23" spans="1:70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42" t="e">
        <f ca="1">IF(M23&gt;0,"Potential Upside (%)","Potential Downside (%)")</f>
        <v>#NAME?</v>
      </c>
      <c r="L23" s="35"/>
      <c r="M23" s="43" t="e">
        <f ca="1">M22/M20</f>
        <v>#NAME?</v>
      </c>
      <c r="N23" s="1"/>
      <c r="O23" s="31"/>
      <c r="P23" s="20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</row>
    <row r="24" spans="1:70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42" t="s">
        <v>150</v>
      </c>
      <c r="P24" s="65" t="e">
        <f ca="1">(P19/(P19+P21))*P13+(P21/(P19+P21))*P22*(1-P15)</f>
        <v>#NAME?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</row>
    <row r="25" spans="1:70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</row>
    <row r="26" spans="1:70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05" t="s">
        <v>153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</row>
    <row r="27" spans="1:70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 t="s">
        <v>155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</row>
    <row r="28" spans="1:70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 t="s">
        <v>156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</row>
    <row r="29" spans="1:70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 t="s">
        <v>160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</row>
    <row r="30" spans="1:70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 t="s">
        <v>157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</row>
    <row r="31" spans="1:70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</row>
    <row r="32" spans="1:70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</row>
    <row r="33" spans="1:70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</row>
    <row r="34" spans="1:70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</row>
    <row r="35" spans="1:70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</row>
    <row r="36" spans="1:70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</row>
    <row r="37" spans="1:70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</row>
    <row r="38" spans="1:70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</row>
    <row r="39" spans="1:70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</row>
    <row r="40" spans="1:70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</row>
    <row r="41" spans="1:70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</row>
    <row r="42" spans="1:70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</row>
    <row r="43" spans="1:70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</row>
    <row r="44" spans="1:70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</row>
    <row r="45" spans="1:70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</row>
    <row r="46" spans="1:70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</row>
    <row r="47" spans="1:70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</row>
    <row r="48" spans="1:70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</row>
    <row r="49" spans="1:70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</row>
    <row r="50" spans="1:70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</row>
    <row r="51" spans="1:70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</row>
    <row r="52" spans="1:70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</row>
    <row r="53" spans="1:70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</row>
    <row r="54" spans="1:70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</row>
    <row r="55" spans="1:70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</row>
    <row r="56" spans="1:70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</row>
    <row r="57" spans="1:70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</row>
    <row r="58" spans="1:70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</row>
    <row r="59" spans="1:70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</row>
    <row r="60" spans="1:70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</row>
    <row r="61" spans="1:70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</row>
    <row r="62" spans="1:70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</row>
    <row r="63" spans="1:70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</row>
    <row r="64" spans="1:70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</row>
    <row r="65" spans="1:70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</row>
    <row r="66" spans="1:70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</row>
    <row r="67" spans="1:70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</row>
    <row r="68" spans="1:70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</row>
    <row r="69" spans="1:70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</row>
    <row r="70" spans="1:70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</row>
    <row r="71" spans="1:70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</row>
    <row r="72" spans="1:70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</row>
    <row r="73" spans="1:70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</row>
    <row r="74" spans="1:70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</row>
    <row r="75" spans="1:70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</row>
    <row r="76" spans="1:70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</row>
    <row r="77" spans="1:70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</row>
    <row r="78" spans="1:70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</row>
    <row r="79" spans="1:70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</row>
    <row r="80" spans="1:70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</row>
    <row r="81" spans="1:70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</row>
    <row r="82" spans="1:70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</row>
    <row r="83" spans="1:70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</row>
    <row r="84" spans="1:70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</row>
    <row r="85" spans="1:70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</row>
    <row r="86" spans="1:70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</row>
    <row r="87" spans="1:70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</row>
    <row r="88" spans="1:70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</row>
    <row r="89" spans="1:70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</row>
    <row r="90" spans="1:70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</row>
    <row r="91" spans="1:70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</row>
    <row r="92" spans="1:70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</row>
    <row r="93" spans="1:70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</row>
    <row r="94" spans="1:70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</row>
    <row r="95" spans="1:70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</row>
    <row r="96" spans="1:70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</row>
    <row r="97" spans="1:70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</row>
    <row r="98" spans="1:70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</row>
    <row r="99" spans="1:70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</row>
    <row r="100" spans="1:70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</row>
    <row r="101" spans="1:70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</row>
    <row r="102" spans="1:70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</row>
    <row r="103" spans="1:70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</row>
    <row r="104" spans="1:70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</row>
    <row r="105" spans="1:70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</row>
    <row r="106" spans="1:70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</row>
    <row r="107" spans="1:70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</row>
    <row r="108" spans="1:70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</row>
    <row r="109" spans="1:70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</row>
    <row r="110" spans="1:70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</row>
    <row r="111" spans="1:70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</row>
    <row r="112" spans="1:70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</row>
    <row r="113" spans="1:70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</row>
    <row r="114" spans="1:70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</row>
    <row r="115" spans="1:70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</row>
    <row r="116" spans="1:70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</row>
    <row r="117" spans="1:70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</row>
    <row r="118" spans="1:70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</row>
    <row r="119" spans="1:70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</row>
    <row r="120" spans="1:70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</row>
    <row r="121" spans="1:70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</row>
    <row r="122" spans="1:70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</row>
    <row r="123" spans="1:70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</row>
    <row r="124" spans="1:70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</row>
    <row r="125" spans="1:70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</row>
    <row r="126" spans="1:70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</row>
    <row r="127" spans="1:70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</row>
    <row r="128" spans="1:70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</row>
    <row r="129" spans="1:70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</row>
    <row r="130" spans="1:70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</row>
    <row r="131" spans="1:70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</row>
    <row r="132" spans="1:70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</row>
    <row r="133" spans="1:70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</row>
    <row r="134" spans="1:70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</row>
    <row r="135" spans="1:70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</row>
    <row r="136" spans="1:70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</row>
    <row r="137" spans="1:70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</row>
    <row r="138" spans="1:70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</row>
    <row r="139" spans="1:70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</row>
    <row r="140" spans="1:70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</row>
    <row r="141" spans="1:70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</row>
    <row r="142" spans="1:70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</row>
    <row r="143" spans="1:70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</row>
    <row r="144" spans="1:70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</row>
    <row r="145" spans="1:70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</row>
    <row r="146" spans="1:70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</row>
    <row r="147" spans="1:70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</row>
    <row r="148" spans="1:70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</row>
    <row r="149" spans="1:70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</row>
    <row r="150" spans="1:70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</row>
    <row r="151" spans="1:70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</row>
    <row r="152" spans="1:70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</row>
    <row r="153" spans="1:70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</row>
    <row r="154" spans="1:70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</row>
    <row r="155" spans="1:70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</row>
    <row r="156" spans="1:70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</row>
    <row r="157" spans="1:70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</row>
    <row r="158" spans="1:70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</row>
    <row r="159" spans="1:70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</row>
    <row r="160" spans="1:70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</row>
    <row r="161" spans="1:70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</row>
    <row r="162" spans="1:70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</row>
    <row r="163" spans="1:70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</row>
    <row r="164" spans="1:70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</row>
    <row r="165" spans="1:70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</row>
    <row r="166" spans="1:70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</row>
    <row r="167" spans="1:70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</row>
    <row r="168" spans="1:70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</row>
    <row r="169" spans="1:70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</row>
    <row r="170" spans="1:70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</row>
    <row r="171" spans="1:70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</row>
    <row r="172" spans="1:70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</row>
    <row r="173" spans="1:70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</row>
    <row r="174" spans="1:70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</row>
    <row r="175" spans="1:70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</row>
    <row r="176" spans="1:70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</row>
    <row r="177" spans="1:70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</row>
    <row r="178" spans="1:70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</row>
    <row r="179" spans="1:70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</row>
    <row r="180" spans="1:70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</row>
    <row r="181" spans="1:70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</row>
    <row r="182" spans="1:70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</row>
    <row r="183" spans="1:70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</row>
    <row r="184" spans="1:70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</row>
    <row r="185" spans="1:70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</row>
    <row r="186" spans="1:70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</row>
    <row r="187" spans="1:70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</row>
    <row r="188" spans="1:70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</row>
    <row r="189" spans="1:70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</row>
    <row r="190" spans="1:70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</row>
    <row r="191" spans="1:70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</row>
    <row r="192" spans="1:70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</row>
    <row r="193" spans="1:70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</row>
    <row r="194" spans="1:70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</row>
    <row r="195" spans="1:70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</row>
    <row r="196" spans="1:70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</row>
    <row r="197" spans="1:70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</row>
    <row r="198" spans="1:70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</row>
    <row r="199" spans="1:70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</row>
    <row r="200" spans="1:70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</row>
    <row r="201" spans="1:70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</row>
    <row r="202" spans="1:70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</row>
    <row r="203" spans="1:70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</row>
    <row r="204" spans="1:70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</row>
    <row r="205" spans="1:70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</row>
    <row r="206" spans="1:70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</row>
    <row r="207" spans="1:70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</row>
    <row r="208" spans="1:70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</row>
    <row r="209" spans="1:70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</row>
    <row r="210" spans="1:70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</row>
    <row r="211" spans="1:70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</row>
    <row r="212" spans="1:70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</row>
    <row r="213" spans="1:70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</row>
    <row r="214" spans="1:70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</row>
    <row r="215" spans="1:70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</row>
    <row r="216" spans="1:70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</row>
    <row r="217" spans="1:70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</row>
    <row r="218" spans="1:70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</row>
    <row r="219" spans="1:70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</row>
    <row r="220" spans="1:70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</row>
    <row r="221" spans="1:70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</row>
    <row r="222" spans="1:70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</row>
    <row r="223" spans="1:70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</row>
    <row r="224" spans="1:70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</row>
    <row r="225" spans="1:70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</row>
    <row r="226" spans="1:70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</row>
    <row r="227" spans="1:70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</row>
    <row r="228" spans="1:70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</row>
    <row r="229" spans="1:70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</row>
    <row r="230" spans="1:70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</row>
    <row r="231" spans="1:70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</row>
    <row r="232" spans="1:70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</row>
    <row r="233" spans="1:70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</row>
    <row r="234" spans="1:70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</row>
    <row r="235" spans="1:70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</row>
    <row r="236" spans="1:70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</row>
    <row r="237" spans="1:70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</row>
    <row r="238" spans="1:70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</row>
    <row r="239" spans="1:70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</row>
    <row r="240" spans="1:70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</row>
    <row r="241" spans="1:70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</row>
    <row r="242" spans="1:70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</row>
    <row r="243" spans="1:70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</row>
    <row r="244" spans="1:70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</row>
    <row r="245" spans="1:70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</row>
    <row r="246" spans="1:70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</row>
    <row r="247" spans="1:70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</row>
    <row r="248" spans="1:70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</row>
    <row r="249" spans="1:70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</row>
    <row r="250" spans="1:70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</row>
    <row r="251" spans="1:70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</row>
    <row r="252" spans="1:70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</row>
    <row r="253" spans="1:70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</row>
    <row r="254" spans="1:70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</row>
    <row r="255" spans="1:70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</row>
    <row r="256" spans="1:70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</row>
    <row r="257" spans="1:70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</row>
    <row r="258" spans="1:70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</row>
    <row r="259" spans="1:70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</row>
    <row r="260" spans="1:70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</row>
    <row r="261" spans="1:70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</row>
    <row r="262" spans="1:70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</row>
    <row r="263" spans="1:70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</row>
    <row r="264" spans="1:70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</row>
    <row r="265" spans="1:70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</row>
  </sheetData>
  <mergeCells count="2">
    <mergeCell ref="B2:D2"/>
    <mergeCell ref="E5:I5"/>
  </mergeCells>
  <conditionalFormatting sqref="M22:M23">
    <cfRule type="cellIs" dxfId="1" priority="1" operator="lessThan">
      <formula>0</formula>
    </cfRule>
    <cfRule type="cellIs" dxfId="0" priority="3" operator="greaterThan">
      <formula>0</formula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Company Comparison</vt:lpstr>
      <vt:lpstr>Statements Model</vt:lpstr>
      <vt:lpstr>DCF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Berry, Tyler S</dc:creator>
  <cp:keywords/>
  <dc:description/>
  <cp:lastModifiedBy>saleh iqbal</cp:lastModifiedBy>
  <cp:revision/>
  <dcterms:created xsi:type="dcterms:W3CDTF">2021-08-07T23:59:12Z</dcterms:created>
  <dcterms:modified xsi:type="dcterms:W3CDTF">2025-05-20T14:39:10Z</dcterms:modified>
  <cp:category/>
  <cp:contentStatus/>
</cp:coreProperties>
</file>